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icons\238 Fetesti - Ciulnita\2020.06.10\"/>
    </mc:Choice>
  </mc:AlternateContent>
  <xr:revisionPtr revIDLastSave="0" documentId="13_ncr:1_{540054F6-26A7-4419-847B-7C9B7B34FFD3}" xr6:coauthVersionLast="44" xr6:coauthVersionMax="44" xr10:uidLastSave="{00000000-0000-0000-0000-000000000000}"/>
  <bookViews>
    <workbookView xWindow="-120" yWindow="-120" windowWidth="25440" windowHeight="15390" tabRatio="676" activeTab="2" xr2:uid="{00000000-000D-0000-FFFF-FFFF00000000}"/>
  </bookViews>
  <sheets>
    <sheet name="Cap. 1" sheetId="30" r:id="rId1"/>
    <sheet name="Cap. 4" sheetId="24" r:id="rId2"/>
    <sheet name="Cap. 5.1" sheetId="32" r:id="rId3"/>
    <sheet name="Deviz general" sheetId="3" r:id="rId4"/>
    <sheet name="Date" sheetId="8" r:id="rId5"/>
    <sheet name="Centralizator" sheetId="33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'Cap. 1'!$A$1:$E$36</definedName>
    <definedName name="_xlnm.Print_Area" localSheetId="1">'Cap. 4'!$A$1:$E$44</definedName>
    <definedName name="_xlnm.Print_Area" localSheetId="3">'Deviz general'!$A$1:$E$141</definedName>
    <definedName name="_xlnm.Print_Titles" localSheetId="3">'Deviz general'!$6:$17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0" i="3" l="1"/>
  <c r="A9" i="3"/>
  <c r="C42" i="3" l="1"/>
  <c r="D41" i="3"/>
  <c r="E41" i="3" s="1"/>
  <c r="D40" i="3"/>
  <c r="E40" i="3" s="1"/>
  <c r="C86" i="3" l="1"/>
  <c r="C33" i="24"/>
  <c r="C27" i="24"/>
  <c r="C56" i="3" l="1"/>
  <c r="H20" i="24" l="1"/>
  <c r="C26" i="30"/>
  <c r="D31" i="30" l="1"/>
  <c r="E31" i="30" s="1"/>
  <c r="C30" i="30"/>
  <c r="C32" i="30" s="1"/>
  <c r="D27" i="30"/>
  <c r="E27" i="30" s="1"/>
  <c r="C24" i="30"/>
  <c r="D24" i="30" s="1"/>
  <c r="D23" i="30"/>
  <c r="E23" i="30" s="1"/>
  <c r="D22" i="30"/>
  <c r="E22" i="30" s="1"/>
  <c r="D32" i="30" l="1"/>
  <c r="E32" i="30" s="1"/>
  <c r="E24" i="30"/>
  <c r="C28" i="30"/>
  <c r="D30" i="30"/>
  <c r="E30" i="30" s="1"/>
  <c r="D26" i="30"/>
  <c r="E26" i="30" s="1"/>
  <c r="D28" i="30" l="1"/>
  <c r="E28" i="30" s="1"/>
  <c r="C84" i="3" l="1"/>
  <c r="C85" i="3"/>
  <c r="B79" i="3"/>
  <c r="B80" i="3"/>
  <c r="B81" i="3"/>
  <c r="B82" i="3"/>
  <c r="B83" i="3"/>
  <c r="B84" i="3"/>
  <c r="B85" i="3"/>
  <c r="B86" i="3"/>
  <c r="B19" i="24"/>
  <c r="B20" i="24"/>
  <c r="B21" i="24"/>
  <c r="B22" i="24"/>
  <c r="B23" i="24"/>
  <c r="B24" i="24"/>
  <c r="B25" i="24"/>
  <c r="B26" i="24"/>
  <c r="B18" i="24"/>
  <c r="D84" i="3" l="1"/>
  <c r="E84" i="3" s="1"/>
  <c r="D85" i="3"/>
  <c r="E85" i="3" s="1"/>
  <c r="D8" i="33"/>
  <c r="E8" i="33" s="1"/>
  <c r="G8" i="33" s="1"/>
  <c r="B8" i="33" l="1"/>
  <c r="C8" i="33" s="1"/>
  <c r="C121" i="3" l="1"/>
  <c r="C95" i="3" l="1"/>
  <c r="C90" i="3"/>
  <c r="D90" i="3" s="1"/>
  <c r="E90" i="3" s="1"/>
  <c r="C91" i="3"/>
  <c r="D35" i="24"/>
  <c r="E35" i="24" s="1"/>
  <c r="D30" i="24"/>
  <c r="E30" i="24" s="1"/>
  <c r="D95" i="3" l="1"/>
  <c r="E95" i="3" s="1"/>
  <c r="C38" i="24" l="1"/>
  <c r="C102" i="3" s="1"/>
  <c r="C18" i="30"/>
  <c r="D25" i="24" l="1"/>
  <c r="E25" i="24" s="1"/>
  <c r="D24" i="24" l="1"/>
  <c r="E24" i="24" s="1"/>
  <c r="C81" i="3"/>
  <c r="C80" i="3"/>
  <c r="C30" i="3"/>
  <c r="C89" i="3"/>
  <c r="C82" i="3"/>
  <c r="C83" i="3"/>
  <c r="C78" i="3"/>
  <c r="D22" i="24"/>
  <c r="E22" i="24" s="1"/>
  <c r="D18" i="24"/>
  <c r="E18" i="24" s="1"/>
  <c r="D31" i="24"/>
  <c r="E31" i="24" s="1"/>
  <c r="D29" i="24"/>
  <c r="E29" i="24" s="1"/>
  <c r="C32" i="24"/>
  <c r="C27" i="3"/>
  <c r="C24" i="3"/>
  <c r="A7" i="24"/>
  <c r="A7" i="30"/>
  <c r="C79" i="3" l="1"/>
  <c r="D81" i="3"/>
  <c r="E81" i="3" s="1"/>
  <c r="D20" i="24"/>
  <c r="E20" i="24" s="1"/>
  <c r="D21" i="24"/>
  <c r="E21" i="24" s="1"/>
  <c r="D19" i="24"/>
  <c r="E19" i="24" s="1"/>
  <c r="D83" i="3"/>
  <c r="E83" i="3" s="1"/>
  <c r="C96" i="3" l="1"/>
  <c r="C94" i="3"/>
  <c r="D34" i="24"/>
  <c r="E34" i="24" s="1"/>
  <c r="D36" i="24"/>
  <c r="E36" i="24" s="1"/>
  <c r="C40" i="24"/>
  <c r="C24" i="32" l="1"/>
  <c r="D24" i="32" s="1"/>
  <c r="E24" i="32" s="1"/>
  <c r="D23" i="32"/>
  <c r="E23" i="32" s="1"/>
  <c r="D22" i="32"/>
  <c r="E22" i="32" s="1"/>
  <c r="C20" i="32"/>
  <c r="D20" i="32" s="1"/>
  <c r="E20" i="32" s="1"/>
  <c r="D19" i="32"/>
  <c r="E19" i="32" s="1"/>
  <c r="D18" i="32"/>
  <c r="E18" i="32" s="1"/>
  <c r="A7" i="32"/>
  <c r="C21" i="3"/>
  <c r="C20" i="30"/>
  <c r="D20" i="30" s="1"/>
  <c r="D19" i="30"/>
  <c r="E19" i="30" s="1"/>
  <c r="D26" i="24"/>
  <c r="E26" i="24" s="1"/>
  <c r="D23" i="24"/>
  <c r="E23" i="24" s="1"/>
  <c r="D18" i="30"/>
  <c r="E18" i="30" s="1"/>
  <c r="C28" i="3" l="1"/>
  <c r="C31" i="3"/>
  <c r="C111" i="3"/>
  <c r="C22" i="3"/>
  <c r="C110" i="3"/>
  <c r="C25" i="32"/>
  <c r="D25" i="32" s="1"/>
  <c r="E25" i="32" s="1"/>
  <c r="C25" i="3"/>
  <c r="E20" i="30"/>
  <c r="C87" i="3" l="1"/>
  <c r="C33" i="30"/>
  <c r="D33" i="30" s="1"/>
  <c r="E33" i="30" s="1"/>
  <c r="C115" i="3" l="1"/>
  <c r="C116" i="3"/>
  <c r="D82" i="3" l="1"/>
  <c r="D80" i="3"/>
  <c r="D86" i="3"/>
  <c r="E86" i="3" s="1"/>
  <c r="D79" i="3"/>
  <c r="E79" i="3" s="1"/>
  <c r="D33" i="24"/>
  <c r="E33" i="24" s="1"/>
  <c r="D125" i="3"/>
  <c r="D124" i="3"/>
  <c r="D121" i="3"/>
  <c r="D118" i="3"/>
  <c r="E118" i="3" s="1"/>
  <c r="D114" i="3"/>
  <c r="D113" i="3"/>
  <c r="D105" i="3"/>
  <c r="D102" i="3"/>
  <c r="D99" i="3"/>
  <c r="D96" i="3"/>
  <c r="D94" i="3"/>
  <c r="D91" i="3"/>
  <c r="D61" i="3"/>
  <c r="D56" i="3"/>
  <c r="D55" i="3"/>
  <c r="D54" i="3"/>
  <c r="D53" i="3"/>
  <c r="D50" i="3"/>
  <c r="D47" i="3"/>
  <c r="D44" i="3"/>
  <c r="D35" i="3"/>
  <c r="D34" i="3"/>
  <c r="D31" i="3"/>
  <c r="D30" i="3"/>
  <c r="D27" i="3"/>
  <c r="D24" i="3"/>
  <c r="D21" i="3"/>
  <c r="D39" i="24"/>
  <c r="D38" i="24"/>
  <c r="D37" i="24"/>
  <c r="D119" i="3" l="1"/>
  <c r="E82" i="3"/>
  <c r="E80" i="3"/>
  <c r="E121" i="3"/>
  <c r="C62" i="3"/>
  <c r="D62" i="3" s="1"/>
  <c r="E61" i="3"/>
  <c r="E56" i="3"/>
  <c r="E55" i="3"/>
  <c r="C51" i="3"/>
  <c r="D51" i="3" s="1"/>
  <c r="E50" i="3"/>
  <c r="C48" i="3"/>
  <c r="D48" i="3" s="1"/>
  <c r="E30" i="3"/>
  <c r="D42" i="3" l="1"/>
  <c r="G45" i="3"/>
  <c r="E51" i="3"/>
  <c r="E48" i="3"/>
  <c r="C45" i="3"/>
  <c r="D45" i="3" s="1"/>
  <c r="E47" i="3"/>
  <c r="E44" i="3"/>
  <c r="E31" i="3"/>
  <c r="B78" i="3" l="1"/>
  <c r="E53" i="3"/>
  <c r="E39" i="24"/>
  <c r="E38" i="24"/>
  <c r="E37" i="24"/>
  <c r="E125" i="3"/>
  <c r="E124" i="3"/>
  <c r="E105" i="3"/>
  <c r="E102" i="3"/>
  <c r="E99" i="3"/>
  <c r="E96" i="3"/>
  <c r="E94" i="3"/>
  <c r="E91" i="3"/>
  <c r="E35" i="3"/>
  <c r="E34" i="3"/>
  <c r="E27" i="3"/>
  <c r="E24" i="3"/>
  <c r="E21" i="3"/>
  <c r="C97" i="3"/>
  <c r="D97" i="3" s="1"/>
  <c r="C36" i="3"/>
  <c r="G36" i="3" s="1"/>
  <c r="D89" i="3"/>
  <c r="D40" i="24"/>
  <c r="C100" i="3"/>
  <c r="D100" i="3" s="1"/>
  <c r="C103" i="3"/>
  <c r="D103" i="3" s="1"/>
  <c r="C106" i="3"/>
  <c r="D106" i="3" s="1"/>
  <c r="D22" i="3"/>
  <c r="C126" i="3"/>
  <c r="D28" i="3"/>
  <c r="D25" i="3"/>
  <c r="D126" i="3" l="1"/>
  <c r="E126" i="3" s="1"/>
  <c r="D36" i="3"/>
  <c r="E36" i="3" s="1"/>
  <c r="J36" i="3" s="1"/>
  <c r="C92" i="3"/>
  <c r="D92" i="3" s="1"/>
  <c r="E89" i="3"/>
  <c r="D27" i="24"/>
  <c r="E27" i="24" s="1"/>
  <c r="D32" i="24"/>
  <c r="E32" i="24" s="1"/>
  <c r="C41" i="24"/>
  <c r="E103" i="3"/>
  <c r="E25" i="3"/>
  <c r="C32" i="3"/>
  <c r="E22" i="3"/>
  <c r="E40" i="24"/>
  <c r="E28" i="3"/>
  <c r="E100" i="3"/>
  <c r="E97" i="3"/>
  <c r="E106" i="3"/>
  <c r="E42" i="3"/>
  <c r="E92" i="3" l="1"/>
  <c r="D32" i="3"/>
  <c r="D78" i="3"/>
  <c r="E78" i="3" s="1"/>
  <c r="D41" i="24"/>
  <c r="E41" i="24" s="1"/>
  <c r="E32" i="3" l="1"/>
  <c r="C117" i="3"/>
  <c r="D110" i="3"/>
  <c r="D87" i="3"/>
  <c r="C107" i="3"/>
  <c r="C69" i="3" l="1"/>
  <c r="C58" i="3"/>
  <c r="E87" i="3"/>
  <c r="D129" i="3"/>
  <c r="G107" i="3"/>
  <c r="C64" i="3"/>
  <c r="C65" i="3"/>
  <c r="E116" i="3"/>
  <c r="E117" i="3"/>
  <c r="C72" i="3"/>
  <c r="C70" i="3"/>
  <c r="C129" i="3"/>
  <c r="D107" i="3"/>
  <c r="E107" i="3" s="1"/>
  <c r="J107" i="3" s="1"/>
  <c r="E110" i="3"/>
  <c r="D111" i="3"/>
  <c r="E129" i="3" l="1"/>
  <c r="D7" i="33"/>
  <c r="E7" i="33" s="1"/>
  <c r="G7" i="33" s="1"/>
  <c r="D72" i="3"/>
  <c r="E72" i="3" s="1"/>
  <c r="C73" i="3"/>
  <c r="D65" i="3"/>
  <c r="E65" i="3" s="1"/>
  <c r="D64" i="3"/>
  <c r="E64" i="3" s="1"/>
  <c r="C66" i="3"/>
  <c r="D66" i="3" s="1"/>
  <c r="D58" i="3"/>
  <c r="E58" i="3" s="1"/>
  <c r="C119" i="3"/>
  <c r="D69" i="3"/>
  <c r="E69" i="3" s="1"/>
  <c r="C71" i="3"/>
  <c r="D70" i="3"/>
  <c r="E70" i="3" s="1"/>
  <c r="C112" i="3"/>
  <c r="D112" i="3" s="1"/>
  <c r="E114" i="3"/>
  <c r="E111" i="3"/>
  <c r="E54" i="3"/>
  <c r="E115" i="3"/>
  <c r="E119" i="3" l="1"/>
  <c r="D73" i="3"/>
  <c r="E73" i="3" s="1"/>
  <c r="C74" i="3"/>
  <c r="D71" i="3"/>
  <c r="E71" i="3" s="1"/>
  <c r="E112" i="3"/>
  <c r="E66" i="3"/>
  <c r="E45" i="3"/>
  <c r="D57" i="3" l="1"/>
  <c r="E57" i="3" s="1"/>
  <c r="C59" i="3"/>
  <c r="D74" i="3"/>
  <c r="E74" i="3" s="1"/>
  <c r="E62" i="3"/>
  <c r="D59" i="3" l="1"/>
  <c r="E59" i="3" s="1"/>
  <c r="C122" i="3"/>
  <c r="C75" i="3"/>
  <c r="D75" i="3" l="1"/>
  <c r="D120" i="3"/>
  <c r="E75" i="3" l="1"/>
  <c r="E120" i="3"/>
  <c r="E122" i="3" s="1"/>
  <c r="D122" i="3"/>
  <c r="D128" i="3" s="1"/>
  <c r="C128" i="3"/>
  <c r="E128" i="3" l="1"/>
  <c r="B7" i="33"/>
  <c r="C7" i="33" s="1"/>
  <c r="D9" i="33" l="1"/>
  <c r="E9" i="33" s="1"/>
  <c r="G9" i="33" s="1"/>
  <c r="B9" i="33" l="1"/>
  <c r="C9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tc={3A03DC80-2A0F-4849-80C4-7FF506EA2553}</author>
    <author>tc={C8C985E0-9116-4835-B3D9-32C08142C0DF}</author>
  </authors>
  <commentList>
    <comment ref="C57" authorId="0" shapeId="0" xr:uid="{3A03DC80-2A0F-4849-80C4-7FF506EA2553}">
      <text>
        <t>[Threaded comment]
Your version of Excel allows you to read this threaded comment; however, any edits to it will get removed if the file is opened in a newer version of Excel. Learn more: https://go.microsoft.com/fwlink/?linkid=870924
Comment:
    A ramas la valoarea de PTE 3%</t>
      </text>
    </comment>
    <comment ref="C58" authorId="1" shapeId="0" xr:uid="{C8C985E0-9116-4835-B3D9-32C08142C0DF}">
      <text>
        <t>[Threaded comment]
Your version of Excel allows you to read this threaded comment; however, any edits to it will get removed if the file is opened in a newer version of Excel. Learn more: https://go.microsoft.com/fwlink/?linkid=870924
Comment:
    PTE nu mai are 3% diferenta este la topo, geo si expertiza</t>
      </text>
    </comment>
  </commentList>
</comments>
</file>

<file path=xl/sharedStrings.xml><?xml version="1.0" encoding="utf-8"?>
<sst xmlns="http://schemas.openxmlformats.org/spreadsheetml/2006/main" count="369" uniqueCount="280">
  <si>
    <t>DEVIZ GENERAL</t>
  </si>
  <si>
    <t>Nr. crt.</t>
  </si>
  <si>
    <t>PARTEA I</t>
  </si>
  <si>
    <t xml:space="preserve">           </t>
  </si>
  <si>
    <t>CAPITOLUL 5 
ALTE CHELTUIELI</t>
  </si>
  <si>
    <t xml:space="preserve">TOTAL GENERAL </t>
  </si>
  <si>
    <t>1.2.1</t>
  </si>
  <si>
    <t>4.1.1</t>
  </si>
  <si>
    <t>Obţinerea terenului</t>
  </si>
  <si>
    <t>Organizarea procedurilor de achiziţie publică</t>
  </si>
  <si>
    <t>Pregătirea personalului de exploatare</t>
  </si>
  <si>
    <t>Denumirea capitolelor şi subcapitolelor de cheltuieli</t>
  </si>
  <si>
    <t xml:space="preserve">Organizarea de şantier                         </t>
  </si>
  <si>
    <t>CAPITOLUL 4
CHELTUIELI PENTRU INVESTIŢIA DE BAZĂ</t>
  </si>
  <si>
    <t>CAPITOLUL 3       
CHELTUIELI PENTRU PROIECTARE ŞI ASISTENŢĂ TEHNICĂ</t>
  </si>
  <si>
    <t>CAPITOLUL 1 
CHELTUIELI PENTRU OBŢINEREA ŞI AMENAJAREA TERENULUI</t>
  </si>
  <si>
    <t>Obiecte:</t>
  </si>
  <si>
    <t>Data</t>
  </si>
  <si>
    <t>Valoarea Euro:</t>
  </si>
  <si>
    <t>Sef proiect:</t>
  </si>
  <si>
    <t xml:space="preserve">Dotări </t>
  </si>
  <si>
    <t>4.4.1</t>
  </si>
  <si>
    <t>4.5.1</t>
  </si>
  <si>
    <t>1.1</t>
  </si>
  <si>
    <t>1.2</t>
  </si>
  <si>
    <t>1.3</t>
  </si>
  <si>
    <t>2.1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</si>
  <si>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</si>
  <si>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</si>
  <si>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</si>
  <si>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</si>
  <si>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</si>
  <si>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</si>
  <si>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</si>
  <si>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</si>
  <si>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</si>
  <si>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5.3</t>
  </si>
  <si>
    <t>6.1</t>
  </si>
  <si>
    <t>6.2</t>
  </si>
  <si>
    <t>2.2</t>
  </si>
  <si>
    <t>4.2.1</t>
  </si>
  <si>
    <t>4.5.</t>
  </si>
  <si>
    <t>5.1.1</t>
  </si>
  <si>
    <t>5.1.2</t>
  </si>
  <si>
    <t>5.2.1</t>
  </si>
  <si>
    <t>5.2.2</t>
  </si>
  <si>
    <t>3.3.1</t>
  </si>
  <si>
    <t>Total 3.3</t>
  </si>
  <si>
    <t>Total 1.2</t>
  </si>
  <si>
    <t>Total 4.1</t>
  </si>
  <si>
    <t>Total 4.2</t>
  </si>
  <si>
    <t>Total 4.3</t>
  </si>
  <si>
    <t>Total 4.4</t>
  </si>
  <si>
    <t>Total 4.5</t>
  </si>
  <si>
    <t>Total 5.1</t>
  </si>
  <si>
    <t>Total 5.2</t>
  </si>
  <si>
    <t>Beneficiar:</t>
  </si>
  <si>
    <t>Întocmit</t>
  </si>
  <si>
    <t>NR.                       CRT.</t>
  </si>
  <si>
    <t>DEVIZUL OBIECTULUI</t>
  </si>
  <si>
    <t>CAPITOLUL 2 
CHELTUIELI PENTRU ASIGURAREA UTILITĂŢILOR NECESARE OBIECTIVULUI</t>
  </si>
  <si>
    <t>Total 1.1</t>
  </si>
  <si>
    <t>1.1.1</t>
  </si>
  <si>
    <t>1.1.2</t>
  </si>
  <si>
    <t>1.3.1</t>
  </si>
  <si>
    <t>Total 1.3</t>
  </si>
  <si>
    <t>TOTAL CAPITOL 1</t>
  </si>
  <si>
    <t>TOTAL CAPITOL 2</t>
  </si>
  <si>
    <t>Amenajarea terenului</t>
  </si>
  <si>
    <t>TOTAL CAPITOL 3</t>
  </si>
  <si>
    <t>Total 3.1</t>
  </si>
  <si>
    <t>TOTAL CAPITOL 4</t>
  </si>
  <si>
    <t>3.1.1</t>
  </si>
  <si>
    <t>4.2.2</t>
  </si>
  <si>
    <t>TOTAL CAPITOL 5</t>
  </si>
  <si>
    <t>TOTAL CAPITOL 6</t>
  </si>
  <si>
    <t>4.6.</t>
  </si>
  <si>
    <t>4.6.1</t>
  </si>
  <si>
    <t>Total 4.6</t>
  </si>
  <si>
    <t>Active necorporale</t>
  </si>
  <si>
    <t>Valoare (fără TVA)</t>
  </si>
  <si>
    <t>TVA</t>
  </si>
  <si>
    <t>Comisioane, cote, taxe, costul creditului</t>
  </si>
  <si>
    <t>Probe tehnologice şi teste</t>
  </si>
  <si>
    <t>Valoare                       (fără TVA)</t>
  </si>
  <si>
    <t>4.1.3</t>
  </si>
  <si>
    <t>4.3.2.</t>
  </si>
  <si>
    <t>4.3.1.</t>
  </si>
  <si>
    <t>001</t>
  </si>
  <si>
    <t>Director Tehnic:</t>
  </si>
  <si>
    <t>4.1.5</t>
  </si>
  <si>
    <t xml:space="preserve">Șef de Proiect </t>
  </si>
  <si>
    <t>S.C. BAICONS IMPEX S.R.L</t>
  </si>
  <si>
    <t>al obiectivului de investiții</t>
  </si>
  <si>
    <t>Denumirea obiectivului de investiții</t>
  </si>
  <si>
    <t>LEI</t>
  </si>
  <si>
    <t>Valoare cu  TVA</t>
  </si>
  <si>
    <t>Amenajări pentru protecția mediului si aducerea terenului la starea inițială</t>
  </si>
  <si>
    <t>1.4.1</t>
  </si>
  <si>
    <t>Total 1.4</t>
  </si>
  <si>
    <t>Cheltuieli pentru relocarea/protecția utilităților</t>
  </si>
  <si>
    <t xml:space="preserve">Studii:     </t>
  </si>
  <si>
    <t>Studii de teren</t>
  </si>
  <si>
    <t>Documentații-suport si cheltuieli pentru obținerea de avize, acorduri si autorizații</t>
  </si>
  <si>
    <t>3.2.1</t>
  </si>
  <si>
    <t>Total 3.2</t>
  </si>
  <si>
    <t>3.4.1</t>
  </si>
  <si>
    <t>Total 3.4</t>
  </si>
  <si>
    <t>Expertizare tehnică</t>
  </si>
  <si>
    <t>Certificarea performanței energetice și auditul energetic al clădirilor</t>
  </si>
  <si>
    <t>Proiectare</t>
  </si>
  <si>
    <t>3.5.1</t>
  </si>
  <si>
    <t>3.5.2</t>
  </si>
  <si>
    <t>3.5.3</t>
  </si>
  <si>
    <t>Total 3.5</t>
  </si>
  <si>
    <t>Studiu de prefezabilitate</t>
  </si>
  <si>
    <t>3.5.4</t>
  </si>
  <si>
    <t>3.5.5</t>
  </si>
  <si>
    <t>3.5.6</t>
  </si>
  <si>
    <t>Studiu de fezabilitate/documentație de avizare a lucrărilor de intervenții si deviz general</t>
  </si>
  <si>
    <t>Documentațiile tehnice necesare în vederea obținerii avizelor/acordurilor/autorizațiilor</t>
  </si>
  <si>
    <t>3.6.1</t>
  </si>
  <si>
    <t>Total 3.6</t>
  </si>
  <si>
    <t>3.7.1</t>
  </si>
  <si>
    <t>Total 3.7</t>
  </si>
  <si>
    <t>Asistenţă tehnică</t>
  </si>
  <si>
    <t>3.8.1</t>
  </si>
  <si>
    <t>3.8.1.1</t>
  </si>
  <si>
    <t>3.8.1.2</t>
  </si>
  <si>
    <t>Total 3.8.1</t>
  </si>
  <si>
    <t>3.8.2</t>
  </si>
  <si>
    <t>Total 3.8</t>
  </si>
  <si>
    <t>4.1.4</t>
  </si>
  <si>
    <t>Montaj utilaje, echipamente tehnologice și funcționale</t>
  </si>
  <si>
    <t>Utilaje, echipamente tehnologice și funcționale care necesită montaj</t>
  </si>
  <si>
    <t>Utilaje, echipamente tehnologice și funcționale care nu necesită montaj și echipamente de transport</t>
  </si>
  <si>
    <t>Comisioanele și dobânzile aferente creditului băncii finanțatoare</t>
  </si>
  <si>
    <t>5.2.3</t>
  </si>
  <si>
    <t>5.2.4</t>
  </si>
  <si>
    <t>5.2.5</t>
  </si>
  <si>
    <t>Taxe pentru acorduri, avize conforme si autorizația de construire/desființare</t>
  </si>
  <si>
    <t>Cheltuieli pentru informare și publicitate</t>
  </si>
  <si>
    <t>CAPITOLUL 6  
CHELTUIELI PENTRU PROBE TEHNOLOGICE ŞI TESTE</t>
  </si>
  <si>
    <t>Din care C+M (1.2+1.3+1.4+2+4.1+4.2+5.1.1)</t>
  </si>
  <si>
    <t>Data:</t>
  </si>
  <si>
    <t>Valoare cu TVA</t>
  </si>
  <si>
    <t>19%</t>
  </si>
  <si>
    <t>4.1.2</t>
  </si>
  <si>
    <t>Construcții si instalații</t>
  </si>
  <si>
    <t>TOTAL I - subcap. 4.1</t>
  </si>
  <si>
    <t>Montaj utilaje, echipamente tehnologice si funcționale</t>
  </si>
  <si>
    <t>TOTAL II - subcap. 4.2</t>
  </si>
  <si>
    <t>Dotări</t>
  </si>
  <si>
    <t>TOTAL III - subcap. 4.3+4.4+4.5+4.6</t>
  </si>
  <si>
    <t>Total deviz pe obiect (Total I + Total II + Total III)</t>
  </si>
  <si>
    <t>DENUMIREA CAPITOLELOR ŞI SUBCAPITOLELOR DE CHELTUIELI</t>
  </si>
  <si>
    <t>002</t>
  </si>
  <si>
    <t>003</t>
  </si>
  <si>
    <t>004</t>
  </si>
  <si>
    <t>005</t>
  </si>
  <si>
    <t>006</t>
  </si>
  <si>
    <t>Telecomunicații</t>
  </si>
  <si>
    <t xml:space="preserve">Lucrări de construcții și instalații aferente organizării de șantier </t>
  </si>
  <si>
    <t>Cheltuieli conexe organizării șantierului</t>
  </si>
  <si>
    <t>Cota aferenta Casei Sociale a Constructorilor - CSC  
0.5%*(1.2+1.3+1.4+2+4.1+4.2+5.1.1)</t>
  </si>
  <si>
    <t>4.1.1.</t>
  </si>
  <si>
    <t>4.1.2.</t>
  </si>
  <si>
    <t>4.1.3.</t>
  </si>
  <si>
    <t>4.1.4.</t>
  </si>
  <si>
    <t>4.1.5.</t>
  </si>
  <si>
    <t>Cap. 1 - Cheltuieli pentru obținerea și amenajarea terenului</t>
  </si>
  <si>
    <t>Obținerea terenului</t>
  </si>
  <si>
    <t>TOTAL I - subcap. 1.1</t>
  </si>
  <si>
    <t>1.2.2</t>
  </si>
  <si>
    <t>TOTAL II - subcap. 1.2</t>
  </si>
  <si>
    <t>1.3.2</t>
  </si>
  <si>
    <t>1.4.2</t>
  </si>
  <si>
    <t>TOTAL III - subcap. 1.3</t>
  </si>
  <si>
    <t>TOTAL IV - subcap. 1.4</t>
  </si>
  <si>
    <t>Total deviz pe obiect (Total I + Total II + Total III + Total IV)</t>
  </si>
  <si>
    <t>Cap. 5.1 - Organizarea de șantier</t>
  </si>
  <si>
    <t>5.1.1.1.</t>
  </si>
  <si>
    <t>5.1.2.1</t>
  </si>
  <si>
    <t>5.1.2.2</t>
  </si>
  <si>
    <t>TOTAL I - subcap. 5.1.1</t>
  </si>
  <si>
    <t>TOTAL II - subcap. 5.1.2</t>
  </si>
  <si>
    <t>5.1.1.2</t>
  </si>
  <si>
    <t>Amenajare organizare de șantier</t>
  </si>
  <si>
    <t>Desființare organizare de șantier</t>
  </si>
  <si>
    <t>Total deviz pe obiect (Total I + Total II)</t>
  </si>
  <si>
    <t>Cheltuieli pentru obținerea și amenajarea terenului</t>
  </si>
  <si>
    <t>Cheltuieli pentru investiția de bază</t>
  </si>
  <si>
    <t>Cap. 4 - Cheltuieli pentru investiția de bază</t>
  </si>
  <si>
    <t>Organizarea de șantier</t>
  </si>
  <si>
    <t>4.3.1</t>
  </si>
  <si>
    <t>4.3.2</t>
  </si>
  <si>
    <t>COMPANIA NAŢIONALĂ DE CĂI FERATE CNCF „CFR” SA</t>
  </si>
  <si>
    <t>Temă de proiectare</t>
  </si>
  <si>
    <t>3.6</t>
  </si>
  <si>
    <t>1.4</t>
  </si>
  <si>
    <t>3.4</t>
  </si>
  <si>
    <t>3.5</t>
  </si>
  <si>
    <t>3.7</t>
  </si>
  <si>
    <t>Consultanţă 
(1% din cap.4)</t>
  </si>
  <si>
    <t>Managementul de proiect pentru obiectivul de investiții (0.8% din cap. 4)</t>
  </si>
  <si>
    <t>Auditul financiar (0.2% din cap. 4)</t>
  </si>
  <si>
    <t>3.7.2</t>
  </si>
  <si>
    <t>3.8</t>
  </si>
  <si>
    <t>pentru participarea proiectantului la fazele incluse in programul de control al lucrărilor de execuție, avizat de către Inspectoratul de Stat in Construcții (0.5% din cap. 4)</t>
  </si>
  <si>
    <t>Dirigenție de șantier (1% din cap. 4)</t>
  </si>
  <si>
    <t>Construcţii și instalaţii</t>
  </si>
  <si>
    <t>4.1.6</t>
  </si>
  <si>
    <t>Suprastructura CF</t>
  </si>
  <si>
    <t>Infrastructură CF</t>
  </si>
  <si>
    <t>Telecomunicatii</t>
  </si>
  <si>
    <t>Total 3.8.2</t>
  </si>
  <si>
    <t>5.4</t>
  </si>
  <si>
    <t>007</t>
  </si>
  <si>
    <t>4.1.7</t>
  </si>
  <si>
    <t>4.1.6.</t>
  </si>
  <si>
    <t>4.1.7.</t>
  </si>
  <si>
    <t>4.5</t>
  </si>
  <si>
    <t>4.6</t>
  </si>
  <si>
    <t>euro</t>
  </si>
  <si>
    <t>4.2.3</t>
  </si>
  <si>
    <t>4.3.3</t>
  </si>
  <si>
    <t>4.3.3.</t>
  </si>
  <si>
    <t>Varianta 2a</t>
  </si>
  <si>
    <t>Varianta 3</t>
  </si>
  <si>
    <t>Varianta 4</t>
  </si>
  <si>
    <t>VARIANTA</t>
  </si>
  <si>
    <t>fara TVA</t>
  </si>
  <si>
    <t>TOTAL GENERAL
- lei -</t>
  </si>
  <si>
    <t>TOTAL GENERAL
- euro -</t>
  </si>
  <si>
    <t>C+M
- lei -</t>
  </si>
  <si>
    <t>C+M
- euro -</t>
  </si>
  <si>
    <t>Estimat in Faza I
- euro -</t>
  </si>
  <si>
    <t>Diferenta
- euro -</t>
  </si>
  <si>
    <t>17+278</t>
  </si>
  <si>
    <t>17+562</t>
  </si>
  <si>
    <t>18+040</t>
  </si>
  <si>
    <t>1 euro =</t>
  </si>
  <si>
    <t>Lucrări de electrificare - linie de contact</t>
  </si>
  <si>
    <t>Lucrări de electrificare - energoalimentare</t>
  </si>
  <si>
    <t>Lucrări de electrificare - protecția instalațiilor din cale</t>
  </si>
  <si>
    <t>Lucrări de civile - Construcții civile</t>
  </si>
  <si>
    <t>Lucrări de civile - Instalatii electrice</t>
  </si>
  <si>
    <t>008</t>
  </si>
  <si>
    <t>009</t>
  </si>
  <si>
    <t>4.1.8.</t>
  </si>
  <si>
    <t>4.1.9.</t>
  </si>
  <si>
    <t>4.1.8</t>
  </si>
  <si>
    <t>4.1.9</t>
  </si>
  <si>
    <t>Stația Fetești</t>
  </si>
  <si>
    <t>estimat</t>
  </si>
  <si>
    <t>Varianta 2</t>
  </si>
  <si>
    <t>Instalații CE</t>
  </si>
  <si>
    <t>Instalatii CE</t>
  </si>
  <si>
    <t>Energoalimentare</t>
  </si>
  <si>
    <t>Cota aferentă ISC pentru controlul calității lucrărilor de construcții  cf Legii 50/1991 -  0.1%*(4.1+5.1.1)</t>
  </si>
  <si>
    <t>Cota aferentă ISC pentru controlul statului în amenajarea teritoriului, urbanism și pentru autorizarea lucrărilor de construcții  cf Legii 10/1995
0.5%*(4.1+5.1.1)</t>
  </si>
  <si>
    <t>Asistenta tehnica din partea proiectantului (1% din cap. 4)</t>
  </si>
  <si>
    <t>pe perioada de execuție a lucrărilor (0,5% din cap. 4)</t>
  </si>
  <si>
    <t>ing. BAICU Marin</t>
  </si>
  <si>
    <t>Ianuarie 2020</t>
  </si>
  <si>
    <t>3.1.1.1</t>
  </si>
  <si>
    <t>Studii topo</t>
  </si>
  <si>
    <t>3.1.1.2</t>
  </si>
  <si>
    <t>Studii geo</t>
  </si>
  <si>
    <t>Verificarea tehnică de calitate a proiectului tehnic și a detaliilor de execuție</t>
  </si>
  <si>
    <t>Proiect tehnic si detalii de execuție</t>
  </si>
  <si>
    <t xml:space="preserve">Cheltuieli diverse şi neprevăzute </t>
  </si>
  <si>
    <t>Director General</t>
  </si>
  <si>
    <t>Ioan PINTEA</t>
  </si>
  <si>
    <t>Reabilitarea liniei de cale ferată București- Constanța, componentă a Coridorului IV Pan-European pentru o viteză de maxim 160 km/h - pentru proiectul
Lucrări în Staţiile C.F. Feteşti și Ciulniţa, de pe linia de cale ferată București – Constanța</t>
  </si>
  <si>
    <t>PROIECTANT</t>
  </si>
  <si>
    <t>CUI: RO 14316683, J40/9877/2001
Str. Zambilelor nr.6, parter. sector 2, București, Telefon: +4 021.242.67.98, Fax: +4 021.210.90.08
E-mail: office@baicons.ro</t>
  </si>
  <si>
    <t>In preturi la data de Ianuarie 2020;   1 euro = 4,7789lei</t>
  </si>
  <si>
    <t>Beneficiar / Investitor</t>
  </si>
  <si>
    <t>SC BAICONS IMPEX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</si>
</sst>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0"/>
    <numFmt numFmtId="165" formatCode="0.0"/>
    <numFmt numFmtId="166" formatCode="_([$RON]\ * #,##0.0000_);_([$RON]\ * \(#,##0.0000\);_([$RON]\ * &quot;-&quot;????_);_(@_)"/>
    <numFmt numFmtId="167" formatCode="[$-409]d\-mmm\-yyyy;@"/>
  </numFmts>
  <fonts count="29">
    <font>
      <sz val="10"/>
      <name val="Arial"/>
    </font>
    <font>
      <b/>
      <sz val="12"/>
      <name val="ArialUp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UpR"/>
    </font>
    <font>
      <sz val="8"/>
      <name val="Arial"/>
      <family val="2"/>
    </font>
    <font>
      <b/>
      <sz val="8"/>
      <name val="Arial"/>
      <family val="2"/>
    </font>
    <font>
      <b/>
      <sz val="10"/>
      <name val="Albertus Extra Bold"/>
      <family val="2"/>
      <charset val="238"/>
    </font>
    <font>
      <sz val="12"/>
      <name val="Times New Roman"/>
      <family val="1"/>
      <charset val="238"/>
    </font>
    <font>
      <b/>
      <sz val="10"/>
      <color rgb="FF0000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</font>
    <font>
      <sz val="10"/>
      <name val="ArialUpR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color rgb="FF00000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CCCCCC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4" fontId="18" fillId="0" borderId="0" applyFill="0" applyBorder="0" applyProtection="0">
      <alignment horizontal="right" vertical="center"/>
    </xf>
    <xf numFmtId="49" fontId="18" fillId="0" borderId="0" applyFill="0" applyBorder="0" applyProtection="0">
      <alignment horizontal="left" vertical="center" wrapText="1"/>
    </xf>
    <xf numFmtId="43" fontId="25" fillId="0" borderId="0" applyFont="0" applyFill="0" applyBorder="0" applyAlignment="0" applyProtection="0"/>
  </cellStyleXfs>
  <cellXfs count="287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Fill="1" applyBorder="1"/>
    <xf numFmtId="1" fontId="5" fillId="0" borderId="0" xfId="0" applyNumberFormat="1" applyFont="1" applyFill="1" applyBorder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3" fillId="0" borderId="0" xfId="0" applyFont="1"/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3" fillId="0" borderId="0" xfId="0" applyFont="1" applyFill="1" applyAlignment="1"/>
    <xf numFmtId="4" fontId="6" fillId="0" borderId="7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" fontId="12" fillId="3" borderId="9" xfId="0" applyNumberFormat="1" applyFont="1" applyFill="1" applyBorder="1" applyAlignment="1">
      <alignment vertical="center"/>
    </xf>
    <xf numFmtId="49" fontId="7" fillId="0" borderId="0" xfId="0" applyNumberFormat="1" applyFont="1" applyAlignment="1">
      <alignment horizontal="center"/>
    </xf>
    <xf numFmtId="1" fontId="13" fillId="0" borderId="0" xfId="0" applyNumberFormat="1" applyFont="1"/>
    <xf numFmtId="0" fontId="3" fillId="0" borderId="0" xfId="0" applyFont="1" applyFill="1"/>
    <xf numFmtId="1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  <xf numFmtId="4" fontId="2" fillId="0" borderId="0" xfId="1" applyNumberFormat="1" applyFont="1" applyAlignment="1"/>
    <xf numFmtId="4" fontId="2" fillId="0" borderId="0" xfId="1" applyNumberFormat="1" applyFont="1" applyAlignment="1">
      <alignment vertical="top"/>
    </xf>
    <xf numFmtId="4" fontId="5" fillId="0" borderId="0" xfId="2" applyNumberFormat="1" applyFont="1" applyAlignment="1">
      <alignment horizontal="center" vertical="center" wrapText="1"/>
    </xf>
    <xf numFmtId="4" fontId="5" fillId="0" borderId="0" xfId="2" applyNumberFormat="1" applyFont="1"/>
    <xf numFmtId="4" fontId="5" fillId="0" borderId="0" xfId="2" applyNumberFormat="1" applyFont="1" applyBorder="1"/>
    <xf numFmtId="4" fontId="5" fillId="0" borderId="0" xfId="2" applyNumberFormat="1" applyFont="1" applyAlignment="1">
      <alignment horizontal="center"/>
    </xf>
    <xf numFmtId="4" fontId="5" fillId="0" borderId="0" xfId="2" applyNumberFormat="1" applyFont="1" applyAlignment="1">
      <alignment horizontal="center" vertical="top"/>
    </xf>
    <xf numFmtId="0" fontId="6" fillId="0" borderId="2" xfId="0" applyFont="1" applyBorder="1" applyAlignment="1">
      <alignment horizontal="justify" vertical="center"/>
    </xf>
    <xf numFmtId="0" fontId="10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4" fillId="0" borderId="0" xfId="0" applyFont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 wrapText="1"/>
    </xf>
    <xf numFmtId="1" fontId="4" fillId="0" borderId="0" xfId="0" applyNumberFormat="1" applyFont="1" applyFill="1"/>
    <xf numFmtId="4" fontId="4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 wrapText="1"/>
    </xf>
    <xf numFmtId="4" fontId="2" fillId="3" borderId="9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/>
    <xf numFmtId="4" fontId="2" fillId="0" borderId="0" xfId="0" applyNumberFormat="1" applyFont="1" applyAlignment="1">
      <alignment horizontal="center"/>
    </xf>
    <xf numFmtId="4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4" fontId="2" fillId="0" borderId="0" xfId="0" applyNumberFormat="1" applyFont="1" applyBorder="1"/>
    <xf numFmtId="4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4" fontId="6" fillId="0" borderId="21" xfId="0" applyNumberFormat="1" applyFont="1" applyFill="1" applyBorder="1" applyAlignment="1">
      <alignment vertical="center"/>
    </xf>
    <xf numFmtId="4" fontId="6" fillId="2" borderId="21" xfId="0" applyNumberFormat="1" applyFont="1" applyFill="1" applyBorder="1" applyAlignment="1">
      <alignment vertical="center"/>
    </xf>
    <xf numFmtId="4" fontId="12" fillId="3" borderId="22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/>
    <xf numFmtId="4" fontId="4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2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justify" vertical="center"/>
    </xf>
    <xf numFmtId="4" fontId="3" fillId="0" borderId="2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21" xfId="0" applyNumberFormat="1" applyFont="1" applyFill="1" applyBorder="1" applyAlignment="1">
      <alignment vertical="center"/>
    </xf>
    <xf numFmtId="4" fontId="1" fillId="0" borderId="0" xfId="0" applyNumberFormat="1" applyFont="1" applyFill="1"/>
    <xf numFmtId="49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/>
    <xf numFmtId="49" fontId="4" fillId="0" borderId="0" xfId="0" applyNumberFormat="1" applyFont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left" vertical="center"/>
    </xf>
    <xf numFmtId="4" fontId="4" fillId="5" borderId="10" xfId="0" applyNumberFormat="1" applyFont="1" applyFill="1" applyBorder="1" applyAlignment="1">
      <alignment horizontal="right" vertical="center"/>
    </xf>
    <xf numFmtId="4" fontId="4" fillId="5" borderId="21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/>
    </xf>
    <xf numFmtId="49" fontId="4" fillId="5" borderId="10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vertical="center" wrapText="1"/>
    </xf>
    <xf numFmtId="4" fontId="16" fillId="5" borderId="2" xfId="0" applyNumberFormat="1" applyFont="1" applyFill="1" applyBorder="1" applyAlignment="1">
      <alignment horizontal="right" vertical="center" wrapText="1"/>
    </xf>
    <xf numFmtId="4" fontId="4" fillId="5" borderId="3" xfId="0" applyNumberFormat="1" applyFont="1" applyFill="1" applyBorder="1" applyAlignment="1">
      <alignment horizontal="right" vertical="center" wrapText="1"/>
    </xf>
    <xf numFmtId="0" fontId="4" fillId="5" borderId="0" xfId="0" applyFont="1" applyFill="1" applyBorder="1"/>
    <xf numFmtId="4" fontId="4" fillId="5" borderId="20" xfId="0" applyNumberFormat="1" applyFont="1" applyFill="1" applyBorder="1" applyAlignment="1">
      <alignment horizontal="right" vertical="center"/>
    </xf>
    <xf numFmtId="4" fontId="4" fillId="5" borderId="25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left" vertical="center"/>
    </xf>
    <xf numFmtId="49" fontId="4" fillId="5" borderId="11" xfId="0" applyNumberFormat="1" applyFont="1" applyFill="1" applyBorder="1" applyAlignment="1">
      <alignment horizontal="left" vertical="center" wrapText="1"/>
    </xf>
    <xf numFmtId="49" fontId="4" fillId="5" borderId="21" xfId="0" applyNumberFormat="1" applyFont="1" applyFill="1" applyBorder="1" applyAlignment="1">
      <alignment horizontal="left" vertical="center" wrapText="1"/>
    </xf>
    <xf numFmtId="49" fontId="4" fillId="5" borderId="11" xfId="0" applyNumberFormat="1" applyFont="1" applyFill="1" applyBorder="1" applyAlignment="1">
      <alignment vertical="center" wrapText="1"/>
    </xf>
    <xf numFmtId="4" fontId="4" fillId="5" borderId="10" xfId="0" applyNumberFormat="1" applyFont="1" applyFill="1" applyBorder="1" applyAlignment="1">
      <alignment horizontal="right" vertical="center" wrapText="1"/>
    </xf>
    <xf numFmtId="4" fontId="4" fillId="5" borderId="21" xfId="0" applyNumberFormat="1" applyFont="1" applyFill="1" applyBorder="1" applyAlignment="1">
      <alignment horizontal="right" vertical="center" wrapText="1"/>
    </xf>
    <xf numFmtId="0" fontId="8" fillId="6" borderId="0" xfId="0" applyFont="1" applyFill="1"/>
    <xf numFmtId="164" fontId="7" fillId="6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vertical="center"/>
    </xf>
    <xf numFmtId="165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justify" vertical="center"/>
    </xf>
    <xf numFmtId="1" fontId="6" fillId="6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vertical="center"/>
    </xf>
    <xf numFmtId="4" fontId="3" fillId="4" borderId="21" xfId="0" applyNumberFormat="1" applyFont="1" applyFill="1" applyBorder="1" applyAlignment="1">
      <alignment vertical="center"/>
    </xf>
    <xf numFmtId="4" fontId="6" fillId="6" borderId="2" xfId="0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vertical="center"/>
    </xf>
    <xf numFmtId="4" fontId="6" fillId="4" borderId="21" xfId="0" applyNumberFormat="1" applyFont="1" applyFill="1" applyBorder="1" applyAlignment="1">
      <alignment vertical="center"/>
    </xf>
    <xf numFmtId="0" fontId="20" fillId="0" borderId="0" xfId="0" applyFont="1" applyFill="1"/>
    <xf numFmtId="4" fontId="0" fillId="0" borderId="0" xfId="0" applyNumberFormat="1" applyFill="1"/>
    <xf numFmtId="4" fontId="13" fillId="0" borderId="0" xfId="0" applyNumberFormat="1" applyFont="1"/>
    <xf numFmtId="4" fontId="3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4" fontId="20" fillId="0" borderId="0" xfId="0" applyNumberFormat="1" applyFont="1" applyFill="1"/>
    <xf numFmtId="4" fontId="21" fillId="0" borderId="0" xfId="0" applyNumberFormat="1" applyFont="1"/>
    <xf numFmtId="4" fontId="22" fillId="0" borderId="0" xfId="0" applyNumberFormat="1" applyFont="1" applyFill="1"/>
    <xf numFmtId="4" fontId="20" fillId="0" borderId="0" xfId="0" applyNumberFormat="1" applyFont="1" applyFill="1" applyAlignment="1">
      <alignment horizontal="center"/>
    </xf>
    <xf numFmtId="1" fontId="2" fillId="0" borderId="0" xfId="0" applyNumberFormat="1" applyFont="1" applyBorder="1"/>
    <xf numFmtId="4" fontId="4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/>
    <xf numFmtId="0" fontId="1" fillId="0" borderId="0" xfId="0" applyFont="1" applyFill="1" applyBorder="1"/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4" fillId="0" borderId="0" xfId="0" applyNumberFormat="1" applyFont="1"/>
    <xf numFmtId="4" fontId="4" fillId="6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43" fontId="1" fillId="0" borderId="0" xfId="5" applyFont="1" applyFill="1"/>
    <xf numFmtId="43" fontId="2" fillId="0" borderId="0" xfId="5" applyFont="1"/>
    <xf numFmtId="43" fontId="4" fillId="0" borderId="0" xfId="5" applyFont="1"/>
    <xf numFmtId="43" fontId="4" fillId="0" borderId="0" xfId="5" applyFont="1" applyAlignment="1">
      <alignment horizontal="center"/>
    </xf>
    <xf numFmtId="43" fontId="4" fillId="0" borderId="0" xfId="5" applyFont="1" applyFill="1"/>
    <xf numFmtId="0" fontId="7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6" fillId="0" borderId="0" xfId="0" applyFont="1"/>
    <xf numFmtId="4" fontId="2" fillId="0" borderId="0" xfId="1" applyNumberFormat="1" applyFont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Alignment="1">
      <alignment horizontal="center"/>
    </xf>
    <xf numFmtId="0" fontId="24" fillId="0" borderId="0" xfId="0" applyFont="1" applyFill="1" applyAlignment="1">
      <alignment horizontal="center" vertical="top" wrapText="1"/>
    </xf>
    <xf numFmtId="0" fontId="24" fillId="0" borderId="0" xfId="0" applyFont="1" applyFill="1" applyAlignment="1">
      <alignment horizontal="center" vertical="top"/>
    </xf>
    <xf numFmtId="4" fontId="2" fillId="0" borderId="0" xfId="1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Alignment="1">
      <alignment horizontal="center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6" fillId="4" borderId="17" xfId="0" applyNumberFormat="1" applyFont="1" applyFill="1" applyBorder="1" applyAlignment="1">
      <alignment vertical="center"/>
    </xf>
    <xf numFmtId="49" fontId="6" fillId="4" borderId="7" xfId="0" applyNumberFormat="1" applyFont="1" applyFill="1" applyBorder="1" applyAlignment="1">
      <alignment vertical="center"/>
    </xf>
    <xf numFmtId="49" fontId="6" fillId="4" borderId="1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49" fontId="2" fillId="4" borderId="17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top"/>
    </xf>
    <xf numFmtId="49" fontId="24" fillId="0" borderId="0" xfId="0" applyNumberFormat="1" applyFont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top" wrapText="1"/>
    </xf>
    <xf numFmtId="0" fontId="24" fillId="0" borderId="0" xfId="0" applyFont="1" applyFill="1" applyAlignment="1">
      <alignment horizontal="center" vertical="top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6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49" fontId="5" fillId="0" borderId="0" xfId="2" applyNumberFormat="1" applyFont="1" applyAlignment="1">
      <alignment horizontal="right" vertical="center" wrapText="1"/>
    </xf>
    <xf numFmtId="1" fontId="5" fillId="0" borderId="0" xfId="2" applyNumberFormat="1" applyFont="1" applyAlignment="1">
      <alignment horizontal="right" vertical="center" wrapText="1"/>
    </xf>
    <xf numFmtId="4" fontId="5" fillId="0" borderId="0" xfId="2" applyNumberFormat="1" applyFont="1" applyAlignment="1">
      <alignment horizontal="right" vertical="center" wrapText="1"/>
    </xf>
    <xf numFmtId="0" fontId="6" fillId="0" borderId="0" xfId="2"/>
    <xf numFmtId="167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4" fontId="5" fillId="0" borderId="0" xfId="0" applyNumberFormat="1" applyFont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1" fontId="5" fillId="0" borderId="0" xfId="2" applyNumberFormat="1" applyFont="1" applyAlignment="1">
      <alignment horizontal="center" vertical="center"/>
    </xf>
  </cellXfs>
  <cellStyles count="6">
    <cellStyle name="Comma" xfId="5" builtinId="3"/>
    <cellStyle name="Denumire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Valoare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268063</xdr:colOff>
      <xdr:row>1</xdr:row>
      <xdr:rowOff>138298</xdr:rowOff>
    </xdr:from>
    <xdr:to>
      <xdr:col>1</xdr:col>
      <xdr:colOff>447675</xdr:colOff>
      <xdr:row>2</xdr:row>
      <xdr:rowOff>363877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94A1BF92-5823-497B-9AAC-A95BF3AB7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3" y="385948"/>
          <a:ext cx="627287" cy="63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268064</xdr:colOff>
      <xdr:row>1</xdr:row>
      <xdr:rowOff>164522</xdr:rowOff>
    </xdr:from>
    <xdr:to>
      <xdr:col>1</xdr:col>
      <xdr:colOff>181841</xdr:colOff>
      <xdr:row>2</xdr:row>
      <xdr:rowOff>363877</xdr:rowOff>
    </xdr:to>
    <xdr:pic>
      <xdr:nvPicPr>
        <xdr:cNvPr id="4" name="Picture 259">
          <a:extLst>
            <a:ext uri="{FF2B5EF4-FFF2-40B4-BE49-F238E27FC236}">
              <a16:creationId xmlns:a16="http://schemas.microsoft.com/office/drawing/2014/main" id="{1078004F-FE1F-43F4-88CF-75270474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4" y="412172"/>
          <a:ext cx="609102" cy="60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251498</xdr:colOff>
      <xdr:row>0</xdr:row>
      <xdr:rowOff>470979</xdr:rowOff>
    </xdr:from>
    <xdr:to>
      <xdr:col>1</xdr:col>
      <xdr:colOff>342724</xdr:colOff>
      <xdr:row>2</xdr:row>
      <xdr:rowOff>323022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0932FF46-435D-4D5F-9CAD-36B5829F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98" y="280479"/>
          <a:ext cx="634151" cy="547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268063</xdr:colOff>
      <xdr:row>0</xdr:row>
      <xdr:rowOff>199649</xdr:rowOff>
    </xdr:from>
    <xdr:to>
      <xdr:col>1</xdr:col>
      <xdr:colOff>433916</xdr:colOff>
      <xdr:row>2</xdr:row>
      <xdr:rowOff>363878</xdr:rowOff>
    </xdr:to>
    <xdr:pic>
      <xdr:nvPicPr>
        <xdr:cNvPr id="4" name="Picture 259">
          <a:extLst>
            <a:ext uri="{FF2B5EF4-FFF2-40B4-BE49-F238E27FC236}">
              <a16:creationId xmlns:a16="http://schemas.microsoft.com/office/drawing/2014/main" id="{51D60B6B-1E73-4D1C-ACF5-AF027A67B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3" y="199649"/>
          <a:ext cx="790270" cy="820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icons/238%20Fetesti%20-%20Ciulnita/Deviz%20General%20-%20Ciulnita%20va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a%203%20Deviz%20General%20-%20Ciulnita%20var%201_R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aicons/212-%20Revizuire%20SF%20Buc%20N-H.Coanda/Deviz%20General/Deviz%20General%20-%20SF%20Otopeni%20var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icons/212-%20Revizuire%20SF%20Buc%20N-H.Coanda/Deviz%20General/Deviz%20General%20-%20SF%20Otopeni%20var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/>
      <sheetData sheetId="4">
        <row r="14">
          <cell r="C14" t="str">
            <v>19%</v>
          </cell>
        </row>
        <row r="22">
          <cell r="C22">
            <v>4.76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/>
      <sheetData sheetId="4">
        <row r="14">
          <cell r="C14" t="str">
            <v>19%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>
        <row r="121">
          <cell r="C121">
            <v>540573794.49547362</v>
          </cell>
        </row>
        <row r="122">
          <cell r="C122">
            <v>387900977.28000003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>
        <row r="121">
          <cell r="C121">
            <v>550546963.35027361</v>
          </cell>
        </row>
        <row r="122">
          <cell r="C122">
            <v>387584997.28000003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dalina Alexandru" id="{21AD9B0D-A240-4DE3-BF6F-68C9227B0FCC}" userId="S::madalina_alexandru@baicons.ro::682ff9e9-9807-47ce-a34e-aa0d6ad3e73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7" dT="2020-06-10T10:15:24.12" personId="{21AD9B0D-A240-4DE3-BF6F-68C9227B0FCC}" id="{3A03DC80-2A0F-4849-80C4-7FF506EA2553}">
    <text>A ramas la valoarea de PTE 3%</text>
  </threadedComment>
  <threadedComment ref="C58" dT="2020-06-10T10:15:44.85" personId="{21AD9B0D-A240-4DE3-BF6F-68C9227B0FCC}" id="{C8C985E0-9116-4835-B3D9-32C08142C0DF}">
    <text>PTE nu mai are 3% diferenta este la topo, geo si expertiza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68"/>
  <sheetViews>
    <sheetView view="pageBreakPreview" topLeftCell="A7" zoomScaleNormal="75" zoomScaleSheetLayoutView="100" workbookViewId="0">
      <selection activeCell="A9" sqref="A9:E9"/>
    </sheetView>
  </sheetViews>
  <sheetFormatPr defaultRowHeight="12.75"/>
  <cols>
    <col min="1" max="1" width="6.7109375" style="7" customWidth="1"/>
    <col min="2" max="2" width="70.7109375" style="7" customWidth="1"/>
    <col min="3" max="3" width="13.85546875" style="7" bestFit="1" customWidth="1"/>
    <col min="4" max="4" width="12.7109375" style="7" customWidth="1"/>
    <col min="5" max="5" width="13.85546875" style="7" bestFit="1" customWidth="1"/>
    <col min="6" max="6" width="20.7109375" style="176" customWidth="1"/>
    <col min="7" max="9" width="9.140625" style="7"/>
    <col min="10" max="10" width="11" style="7" bestFit="1" customWidth="1"/>
    <col min="11" max="16384" width="9.140625" style="7"/>
  </cols>
  <sheetData>
    <row r="1" spans="1:10" s="206" customFormat="1" ht="19.5" customHeight="1">
      <c r="A1" s="265" t="s">
        <v>275</v>
      </c>
      <c r="B1" s="265"/>
      <c r="C1" s="265"/>
      <c r="D1" s="265"/>
      <c r="E1" s="265"/>
      <c r="G1" s="205"/>
    </row>
    <row r="2" spans="1:10" s="206" customFormat="1" ht="32.25" customHeight="1">
      <c r="A2" s="266" t="s">
        <v>92</v>
      </c>
      <c r="B2" s="266"/>
      <c r="C2" s="266"/>
      <c r="D2" s="266"/>
      <c r="E2" s="266"/>
      <c r="G2" s="205"/>
    </row>
    <row r="3" spans="1:10" s="53" customFormat="1" ht="37.5" customHeight="1">
      <c r="A3" s="267" t="s">
        <v>276</v>
      </c>
      <c r="B3" s="268"/>
      <c r="C3" s="268"/>
      <c r="D3" s="268"/>
      <c r="E3" s="268"/>
      <c r="F3" s="36"/>
      <c r="J3" s="201"/>
    </row>
    <row r="4" spans="1:10" s="28" customFormat="1" ht="16.5" customHeight="1">
      <c r="A4" s="30"/>
      <c r="B4" s="43"/>
      <c r="C4" s="33"/>
      <c r="D4" s="35"/>
      <c r="E4" s="35"/>
      <c r="F4" s="177"/>
    </row>
    <row r="5" spans="1:10" s="28" customFormat="1" ht="16.5" customHeight="1">
      <c r="A5" s="217" t="s">
        <v>59</v>
      </c>
      <c r="B5" s="217"/>
      <c r="C5" s="217"/>
      <c r="D5" s="217"/>
      <c r="E5" s="217"/>
      <c r="F5" s="177"/>
    </row>
    <row r="6" spans="1:10" s="28" customFormat="1" ht="16.5" customHeight="1">
      <c r="A6" s="209"/>
      <c r="B6" s="209"/>
      <c r="C6" s="209"/>
      <c r="D6" s="209"/>
      <c r="E6" s="209"/>
      <c r="F6" s="177"/>
    </row>
    <row r="7" spans="1:10" s="29" customFormat="1" ht="53.25" customHeight="1">
      <c r="A7" s="216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16"/>
      <c r="C7" s="216"/>
      <c r="D7" s="216"/>
      <c r="E7" s="216"/>
      <c r="F7" s="178"/>
    </row>
    <row r="8" spans="1:10" s="29" customFormat="1" ht="16.5" customHeight="1">
      <c r="A8" s="208"/>
      <c r="B8" s="208"/>
      <c r="C8" s="208"/>
      <c r="D8" s="208"/>
      <c r="E8" s="208"/>
      <c r="F8" s="178"/>
    </row>
    <row r="9" spans="1:10" ht="15.75">
      <c r="A9" s="227" t="s">
        <v>253</v>
      </c>
      <c r="B9" s="227"/>
      <c r="C9" s="227"/>
      <c r="D9" s="227"/>
      <c r="E9" s="227"/>
    </row>
    <row r="10" spans="1:10" ht="15.75">
      <c r="A10" s="227" t="s">
        <v>255</v>
      </c>
      <c r="B10" s="227"/>
      <c r="C10" s="227"/>
      <c r="D10" s="227"/>
      <c r="E10" s="227"/>
    </row>
    <row r="12" spans="1:10" ht="15" customHeight="1">
      <c r="A12" s="218" t="s">
        <v>190</v>
      </c>
      <c r="B12" s="218"/>
      <c r="C12" s="218"/>
      <c r="D12" s="218"/>
      <c r="E12" s="218"/>
    </row>
    <row r="13" spans="1:10" ht="18" customHeight="1" thickBot="1">
      <c r="A13" s="226"/>
      <c r="B13" s="226"/>
      <c r="C13" s="226"/>
      <c r="D13" s="226"/>
      <c r="E13" s="226"/>
    </row>
    <row r="14" spans="1:10" s="8" customFormat="1" ht="33.75" customHeight="1">
      <c r="A14" s="219" t="s">
        <v>58</v>
      </c>
      <c r="B14" s="221" t="s">
        <v>155</v>
      </c>
      <c r="C14" s="46" t="s">
        <v>84</v>
      </c>
      <c r="D14" s="46" t="s">
        <v>81</v>
      </c>
      <c r="E14" s="47" t="s">
        <v>145</v>
      </c>
      <c r="F14" s="179"/>
    </row>
    <row r="15" spans="1:10" s="9" customFormat="1" ht="18" customHeight="1">
      <c r="A15" s="220"/>
      <c r="B15" s="222"/>
      <c r="C15" s="24" t="s">
        <v>95</v>
      </c>
      <c r="D15" s="24" t="s">
        <v>95</v>
      </c>
      <c r="E15" s="25" t="s">
        <v>95</v>
      </c>
      <c r="F15" s="124"/>
    </row>
    <row r="16" spans="1:10" s="9" customFormat="1" ht="17.100000000000001" customHeight="1">
      <c r="A16" s="223" t="s">
        <v>170</v>
      </c>
      <c r="B16" s="224"/>
      <c r="C16" s="224"/>
      <c r="D16" s="224"/>
      <c r="E16" s="225"/>
      <c r="F16" s="124"/>
    </row>
    <row r="17" spans="1:9" s="9" customFormat="1" ht="17.100000000000001" customHeight="1">
      <c r="A17" s="50">
        <v>1.1000000000000001</v>
      </c>
      <c r="B17" s="42" t="s">
        <v>171</v>
      </c>
      <c r="C17" s="14"/>
      <c r="D17" s="23"/>
      <c r="E17" s="98"/>
      <c r="F17" s="124"/>
    </row>
    <row r="18" spans="1:9" s="9" customFormat="1" ht="17.100000000000001" customHeight="1">
      <c r="A18" s="13" t="s">
        <v>62</v>
      </c>
      <c r="B18" s="42" t="s">
        <v>171</v>
      </c>
      <c r="C18" s="14">
        <f>F18*Date!$C$22</f>
        <v>0</v>
      </c>
      <c r="D18" s="23">
        <f>C18*Date!$C$14</f>
        <v>0</v>
      </c>
      <c r="E18" s="98">
        <f>C18+D18</f>
        <v>0</v>
      </c>
      <c r="F18" s="176"/>
      <c r="G18" s="52"/>
    </row>
    <row r="19" spans="1:9" s="9" customFormat="1" ht="17.100000000000001" customHeight="1">
      <c r="A19" s="13" t="s">
        <v>63</v>
      </c>
      <c r="B19" s="42"/>
      <c r="C19" s="14">
        <v>0</v>
      </c>
      <c r="D19" s="23">
        <f>C19*Date!$C$14</f>
        <v>0</v>
      </c>
      <c r="E19" s="98">
        <f>C19+D19</f>
        <v>0</v>
      </c>
      <c r="F19" s="124"/>
    </row>
    <row r="20" spans="1:9" ht="17.100000000000001" customHeight="1">
      <c r="A20" s="110"/>
      <c r="B20" s="111" t="s">
        <v>172</v>
      </c>
      <c r="C20" s="16">
        <f>SUM(C18:C19)</f>
        <v>0</v>
      </c>
      <c r="D20" s="16">
        <f>C20*Date!$C$14</f>
        <v>0</v>
      </c>
      <c r="E20" s="99">
        <f>C20+D20</f>
        <v>0</v>
      </c>
    </row>
    <row r="21" spans="1:9" ht="17.100000000000001" customHeight="1">
      <c r="A21" s="51" t="s">
        <v>24</v>
      </c>
      <c r="B21" s="112" t="s">
        <v>68</v>
      </c>
      <c r="C21" s="117"/>
      <c r="D21" s="117"/>
      <c r="E21" s="118"/>
    </row>
    <row r="22" spans="1:9" ht="17.100000000000001" customHeight="1">
      <c r="A22" s="13" t="s">
        <v>6</v>
      </c>
      <c r="B22" s="15" t="s">
        <v>68</v>
      </c>
      <c r="C22" s="14">
        <v>874000</v>
      </c>
      <c r="D22" s="14">
        <f>C22*[1]Date!$C$14</f>
        <v>166060</v>
      </c>
      <c r="E22" s="14">
        <f>C22+D22</f>
        <v>1040060</v>
      </c>
      <c r="G22" s="52"/>
      <c r="H22" s="10"/>
      <c r="I22" s="10"/>
    </row>
    <row r="23" spans="1:9" ht="17.100000000000001" customHeight="1">
      <c r="A23" s="13" t="s">
        <v>173</v>
      </c>
      <c r="B23" s="15"/>
      <c r="C23" s="14">
        <v>0</v>
      </c>
      <c r="D23" s="14">
        <f>C23*[1]Date!$C$14</f>
        <v>0</v>
      </c>
      <c r="E23" s="14">
        <f>C23+D23</f>
        <v>0</v>
      </c>
    </row>
    <row r="24" spans="1:9" ht="17.100000000000001" customHeight="1">
      <c r="A24" s="110"/>
      <c r="B24" s="111" t="s">
        <v>174</v>
      </c>
      <c r="C24" s="16">
        <f>SUM(C22:C23)</f>
        <v>874000</v>
      </c>
      <c r="D24" s="16">
        <f>C24*[1]Date!$C$14</f>
        <v>166060</v>
      </c>
      <c r="E24" s="99">
        <f>C24+D24</f>
        <v>1040060</v>
      </c>
    </row>
    <row r="25" spans="1:9" ht="17.100000000000001" customHeight="1">
      <c r="A25" s="50">
        <v>1.3</v>
      </c>
      <c r="B25" s="15" t="s">
        <v>97</v>
      </c>
      <c r="C25" s="14"/>
      <c r="D25" s="23"/>
      <c r="E25" s="98"/>
      <c r="H25" s="10"/>
      <c r="I25" s="10"/>
    </row>
    <row r="26" spans="1:9" ht="17.100000000000001" customHeight="1">
      <c r="A26" s="13" t="s">
        <v>64</v>
      </c>
      <c r="B26" s="15" t="s">
        <v>97</v>
      </c>
      <c r="C26" s="14">
        <f>20000*Date!C22</f>
        <v>93192</v>
      </c>
      <c r="D26" s="23">
        <f>C26*[1]Date!$C$14</f>
        <v>17706.48</v>
      </c>
      <c r="E26" s="98">
        <f>C26+D26</f>
        <v>110898.48</v>
      </c>
      <c r="F26" s="176" t="s">
        <v>254</v>
      </c>
      <c r="G26" s="52">
        <v>10000</v>
      </c>
      <c r="H26" s="10" t="s">
        <v>223</v>
      </c>
      <c r="I26" s="10"/>
    </row>
    <row r="27" spans="1:9" ht="17.100000000000001" customHeight="1">
      <c r="A27" s="13" t="s">
        <v>175</v>
      </c>
      <c r="B27" s="15"/>
      <c r="C27" s="14"/>
      <c r="D27" s="23">
        <f>C27*[1]Date!$C$14</f>
        <v>0</v>
      </c>
      <c r="E27" s="98">
        <f>C27+D27</f>
        <v>0</v>
      </c>
      <c r="H27" s="10"/>
      <c r="I27" s="10"/>
    </row>
    <row r="28" spans="1:9">
      <c r="A28" s="110"/>
      <c r="B28" s="111" t="s">
        <v>177</v>
      </c>
      <c r="C28" s="16">
        <f>SUM(C26:C27)</f>
        <v>93192</v>
      </c>
      <c r="D28" s="16">
        <f>C28*[1]Date!$C$14</f>
        <v>17706.48</v>
      </c>
      <c r="E28" s="99">
        <f>C28+D28</f>
        <v>110898.48</v>
      </c>
      <c r="H28" s="10"/>
      <c r="I28" s="10"/>
    </row>
    <row r="29" spans="1:9">
      <c r="A29" s="50">
        <v>1.4</v>
      </c>
      <c r="B29" s="15" t="s">
        <v>100</v>
      </c>
      <c r="C29" s="14"/>
      <c r="D29" s="23"/>
      <c r="E29" s="98"/>
      <c r="H29" s="10"/>
      <c r="I29" s="10"/>
    </row>
    <row r="30" spans="1:9" ht="17.100000000000001" customHeight="1">
      <c r="A30" s="13" t="s">
        <v>98</v>
      </c>
      <c r="B30" s="15" t="s">
        <v>100</v>
      </c>
      <c r="C30" s="14">
        <f>G30*[1]Date!C22</f>
        <v>95200</v>
      </c>
      <c r="D30" s="23">
        <f>C30*[1]Date!$C$14</f>
        <v>18088</v>
      </c>
      <c r="E30" s="98">
        <f>C30+D30</f>
        <v>113288</v>
      </c>
      <c r="F30" s="176" t="s">
        <v>254</v>
      </c>
      <c r="G30" s="52">
        <v>20000</v>
      </c>
      <c r="H30" s="10" t="s">
        <v>223</v>
      </c>
      <c r="I30" s="10"/>
    </row>
    <row r="31" spans="1:9" ht="17.100000000000001" customHeight="1">
      <c r="A31" s="13" t="s">
        <v>176</v>
      </c>
      <c r="B31" s="15"/>
      <c r="C31" s="14">
        <v>0</v>
      </c>
      <c r="D31" s="23">
        <f>C31*[1]Date!$C$14</f>
        <v>0</v>
      </c>
      <c r="E31" s="98">
        <f>C31+D31</f>
        <v>0</v>
      </c>
      <c r="H31" s="10"/>
      <c r="I31" s="10"/>
    </row>
    <row r="32" spans="1:9" ht="17.100000000000001" customHeight="1">
      <c r="A32" s="110"/>
      <c r="B32" s="111" t="s">
        <v>178</v>
      </c>
      <c r="C32" s="16">
        <f>SUM(C30:C31)</f>
        <v>95200</v>
      </c>
      <c r="D32" s="16">
        <f>C32*[1]Date!$C$14</f>
        <v>18088</v>
      </c>
      <c r="E32" s="99">
        <f>C32+D32</f>
        <v>113288</v>
      </c>
    </row>
    <row r="33" spans="1:6" ht="30" customHeight="1" thickBot="1">
      <c r="A33" s="115"/>
      <c r="B33" s="116" t="s">
        <v>179</v>
      </c>
      <c r="C33" s="26">
        <f>C20+C24+C28+C32</f>
        <v>1062392</v>
      </c>
      <c r="D33" s="26">
        <f>C33*Date!$C$14</f>
        <v>201854.48</v>
      </c>
      <c r="E33" s="100">
        <f>C33+D33</f>
        <v>1264246.48</v>
      </c>
    </row>
    <row r="34" spans="1:6" ht="15">
      <c r="A34" s="5"/>
      <c r="B34" s="5"/>
      <c r="C34" s="6"/>
      <c r="D34" s="6"/>
      <c r="E34" s="6"/>
    </row>
    <row r="35" spans="1:6" ht="20.100000000000001" customHeight="1">
      <c r="A35" s="11"/>
      <c r="B35" s="11"/>
      <c r="C35" s="215"/>
      <c r="D35" s="215"/>
      <c r="E35" s="215"/>
    </row>
    <row r="36" spans="1:6" ht="20.100000000000001" customHeight="1">
      <c r="A36" s="11"/>
      <c r="B36" s="11"/>
      <c r="C36" s="215"/>
      <c r="D36" s="215"/>
      <c r="E36" s="215"/>
    </row>
    <row r="37" spans="1:6">
      <c r="A37" s="22"/>
      <c r="B37" s="22"/>
      <c r="C37" s="21"/>
      <c r="D37" s="21"/>
      <c r="E37" s="21"/>
    </row>
    <row r="38" spans="1:6" ht="15.75">
      <c r="C38" s="9"/>
      <c r="D38" s="9"/>
      <c r="E38" s="9"/>
    </row>
    <row r="39" spans="1:6" ht="15.75">
      <c r="C39" s="9"/>
      <c r="D39" s="9"/>
      <c r="E39" s="9"/>
    </row>
    <row r="40" spans="1:6" ht="15.75">
      <c r="C40" s="9"/>
      <c r="D40" s="9"/>
      <c r="E40" s="9"/>
    </row>
    <row r="41" spans="1:6" ht="15.75">
      <c r="C41" s="9"/>
      <c r="D41" s="9"/>
      <c r="E41" s="9"/>
    </row>
    <row r="42" spans="1:6" ht="15.75">
      <c r="C42" s="9"/>
      <c r="D42" s="9"/>
      <c r="E42" s="9"/>
    </row>
    <row r="43" spans="1:6" ht="15.75">
      <c r="C43" s="9"/>
      <c r="D43" s="9"/>
      <c r="E43" s="9"/>
    </row>
    <row r="44" spans="1:6" ht="15.75">
      <c r="C44" s="9"/>
      <c r="D44" s="9"/>
      <c r="E44" s="9"/>
    </row>
    <row r="45" spans="1:6" ht="15.75">
      <c r="C45" s="9"/>
      <c r="D45" s="9"/>
      <c r="E45" s="9"/>
    </row>
    <row r="46" spans="1:6" ht="15.75">
      <c r="C46" s="9"/>
      <c r="D46" s="9"/>
      <c r="E46" s="9"/>
    </row>
    <row r="47" spans="1:6" ht="15.75">
      <c r="C47" s="9"/>
      <c r="D47" s="9"/>
      <c r="E47" s="9"/>
      <c r="F47" s="124"/>
    </row>
    <row r="48" spans="1:6" ht="15.75">
      <c r="C48" s="9"/>
      <c r="D48" s="9"/>
      <c r="E48" s="9"/>
    </row>
    <row r="49" spans="3:5" ht="15.75">
      <c r="C49" s="9"/>
      <c r="D49" s="9"/>
      <c r="E49" s="9"/>
    </row>
    <row r="50" spans="3:5" ht="15.75">
      <c r="C50" s="9"/>
      <c r="D50" s="9"/>
      <c r="E50" s="9"/>
    </row>
    <row r="51" spans="3:5" ht="15.75">
      <c r="C51" s="9"/>
      <c r="D51" s="9"/>
      <c r="E51" s="9"/>
    </row>
    <row r="52" spans="3:5" ht="15.75">
      <c r="C52" s="9"/>
      <c r="D52" s="9"/>
      <c r="E52" s="9"/>
    </row>
    <row r="53" spans="3:5" ht="15.75">
      <c r="C53" s="9"/>
      <c r="D53" s="9"/>
      <c r="E53" s="9"/>
    </row>
    <row r="54" spans="3:5" ht="15.75">
      <c r="C54" s="9"/>
      <c r="D54" s="9"/>
      <c r="E54" s="9"/>
    </row>
    <row r="55" spans="3:5" ht="15.75">
      <c r="C55" s="9"/>
      <c r="D55" s="9"/>
      <c r="E55" s="9"/>
    </row>
    <row r="56" spans="3:5" ht="15.75">
      <c r="C56" s="9"/>
      <c r="D56" s="9"/>
      <c r="E56" s="9"/>
    </row>
    <row r="57" spans="3:5" ht="15.75">
      <c r="C57" s="9"/>
      <c r="D57" s="9"/>
      <c r="E57" s="9"/>
    </row>
    <row r="58" spans="3:5" ht="15.75">
      <c r="C58" s="9"/>
      <c r="D58" s="9"/>
      <c r="E58" s="9"/>
    </row>
    <row r="59" spans="3:5" ht="15.75">
      <c r="C59" s="9"/>
      <c r="D59" s="9"/>
      <c r="E59" s="9"/>
    </row>
    <row r="60" spans="3:5" ht="15.75">
      <c r="C60" s="9"/>
      <c r="D60" s="9"/>
      <c r="E60" s="9"/>
    </row>
    <row r="61" spans="3:5" ht="15.75">
      <c r="C61" s="9"/>
      <c r="D61" s="9"/>
      <c r="E61" s="9"/>
    </row>
    <row r="62" spans="3:5" ht="15.75">
      <c r="C62" s="9"/>
      <c r="D62" s="9"/>
      <c r="E62" s="9"/>
    </row>
    <row r="63" spans="3:5" ht="15.75">
      <c r="C63" s="9"/>
      <c r="D63" s="9"/>
      <c r="E63" s="9"/>
    </row>
    <row r="64" spans="3:5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  <row r="2561" spans="3:5" ht="15.75">
      <c r="C2561" s="9"/>
      <c r="D2561" s="9"/>
      <c r="E2561" s="9"/>
    </row>
    <row r="2562" spans="3:5" ht="15.75">
      <c r="C2562" s="9"/>
      <c r="D2562" s="9"/>
      <c r="E2562" s="9"/>
    </row>
    <row r="2563" spans="3:5" ht="15.75">
      <c r="C2563" s="9"/>
      <c r="D2563" s="9"/>
      <c r="E2563" s="9"/>
    </row>
    <row r="2564" spans="3:5" ht="15.75">
      <c r="C2564" s="9"/>
      <c r="D2564" s="9"/>
      <c r="E2564" s="9"/>
    </row>
    <row r="2565" spans="3:5" ht="15.75">
      <c r="C2565" s="9"/>
      <c r="D2565" s="9"/>
      <c r="E2565" s="9"/>
    </row>
    <row r="2566" spans="3:5" ht="15.75">
      <c r="C2566" s="9"/>
      <c r="D2566" s="9"/>
      <c r="E2566" s="9"/>
    </row>
    <row r="2567" spans="3:5" ht="15.75">
      <c r="C2567" s="9"/>
      <c r="D2567" s="9"/>
      <c r="E2567" s="9"/>
    </row>
    <row r="2568" spans="3:5" ht="15.75">
      <c r="C2568" s="9"/>
      <c r="D2568" s="9"/>
      <c r="E2568" s="9"/>
    </row>
  </sheetData>
  <mergeCells count="14">
    <mergeCell ref="A1:E1"/>
    <mergeCell ref="A2:E2"/>
    <mergeCell ref="A3:E3"/>
    <mergeCell ref="C35:E35"/>
    <mergeCell ref="C36:E36"/>
    <mergeCell ref="A7:E7"/>
    <mergeCell ref="A5:E5"/>
    <mergeCell ref="A12:E12"/>
    <mergeCell ref="A14:A15"/>
    <mergeCell ref="B14:B15"/>
    <mergeCell ref="A16:E16"/>
    <mergeCell ref="A13:E13"/>
    <mergeCell ref="A9:E9"/>
    <mergeCell ref="A10:E10"/>
  </mergeCells>
  <pageMargins left="0.75" right="0.17" top="0.5" bottom="0.48" header="0.5" footer="0.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6"/>
  <sheetViews>
    <sheetView view="pageBreakPreview" zoomScaleNormal="75" zoomScaleSheetLayoutView="100" workbookViewId="0">
      <selection activeCell="C11" sqref="C11"/>
    </sheetView>
  </sheetViews>
  <sheetFormatPr defaultRowHeight="12.75"/>
  <cols>
    <col min="1" max="1" width="10.42578125" style="7" customWidth="1"/>
    <col min="2" max="2" width="62.85546875" style="7" bestFit="1" customWidth="1"/>
    <col min="3" max="3" width="16" style="7" customWidth="1"/>
    <col min="4" max="4" width="14.5703125" style="7" customWidth="1"/>
    <col min="5" max="5" width="15.7109375" style="7" customWidth="1"/>
    <col min="6" max="6" width="22.5703125" style="182" customWidth="1"/>
    <col min="7" max="7" width="9.140625" style="7"/>
    <col min="8" max="8" width="18.7109375" style="7" customWidth="1"/>
    <col min="9" max="9" width="11" style="7" bestFit="1" customWidth="1"/>
    <col min="10" max="10" width="18.5703125" style="7" bestFit="1" customWidth="1"/>
    <col min="11" max="16384" width="9.140625" style="7"/>
  </cols>
  <sheetData>
    <row r="1" spans="1:10" s="206" customFormat="1" ht="19.5" customHeight="1">
      <c r="A1" s="265" t="s">
        <v>275</v>
      </c>
      <c r="B1" s="265"/>
      <c r="C1" s="265"/>
      <c r="D1" s="265"/>
      <c r="E1" s="265"/>
      <c r="G1" s="205"/>
    </row>
    <row r="2" spans="1:10" s="206" customFormat="1" ht="32.25" customHeight="1">
      <c r="A2" s="266" t="s">
        <v>92</v>
      </c>
      <c r="B2" s="266"/>
      <c r="C2" s="266"/>
      <c r="D2" s="266"/>
      <c r="E2" s="266"/>
      <c r="G2" s="205"/>
    </row>
    <row r="3" spans="1:10" s="53" customFormat="1" ht="37.5" customHeight="1">
      <c r="A3" s="267" t="s">
        <v>276</v>
      </c>
      <c r="B3" s="268"/>
      <c r="C3" s="268"/>
      <c r="D3" s="268"/>
      <c r="E3" s="268"/>
      <c r="F3" s="36"/>
      <c r="J3" s="201"/>
    </row>
    <row r="4" spans="1:10" s="28" customFormat="1" ht="16.5" customHeight="1">
      <c r="A4" s="30"/>
      <c r="B4" s="43"/>
      <c r="C4" s="33"/>
      <c r="D4" s="35"/>
      <c r="E4" s="35"/>
      <c r="F4" s="181"/>
    </row>
    <row r="5" spans="1:10" s="28" customFormat="1" ht="16.5" customHeight="1">
      <c r="A5" s="217" t="s">
        <v>59</v>
      </c>
      <c r="B5" s="217"/>
      <c r="C5" s="217"/>
      <c r="D5" s="217"/>
      <c r="E5" s="217"/>
      <c r="F5" s="181"/>
    </row>
    <row r="6" spans="1:10" s="28" customFormat="1" ht="16.5" customHeight="1">
      <c r="A6" s="209"/>
      <c r="B6" s="209"/>
      <c r="C6" s="209"/>
      <c r="D6" s="209"/>
      <c r="E6" s="209"/>
      <c r="F6" s="181"/>
    </row>
    <row r="7" spans="1:10" s="29" customFormat="1" ht="52.5" customHeight="1">
      <c r="A7" s="216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17"/>
      <c r="C7" s="217"/>
      <c r="D7" s="217"/>
      <c r="E7" s="217"/>
      <c r="F7" s="182"/>
    </row>
    <row r="8" spans="1:10" s="29" customFormat="1" ht="17.25" customHeight="1">
      <c r="A8" s="208"/>
      <c r="B8" s="209"/>
      <c r="C8" s="209"/>
      <c r="D8" s="209"/>
      <c r="E8" s="209"/>
      <c r="F8" s="182"/>
    </row>
    <row r="9" spans="1:10" ht="15.75">
      <c r="A9" s="227" t="s">
        <v>253</v>
      </c>
      <c r="B9" s="227"/>
      <c r="C9" s="227"/>
      <c r="D9" s="227"/>
      <c r="E9" s="227"/>
    </row>
    <row r="10" spans="1:10" ht="15.75">
      <c r="A10" s="227" t="s">
        <v>255</v>
      </c>
      <c r="B10" s="227"/>
      <c r="C10" s="227"/>
      <c r="D10" s="227"/>
      <c r="E10" s="227"/>
    </row>
    <row r="12" spans="1:10" ht="15" customHeight="1">
      <c r="A12" s="218" t="s">
        <v>191</v>
      </c>
      <c r="B12" s="218"/>
      <c r="C12" s="218"/>
      <c r="D12" s="218"/>
      <c r="E12" s="218"/>
    </row>
    <row r="13" spans="1:10" ht="18" customHeight="1" thickBot="1">
      <c r="A13" s="226"/>
      <c r="B13" s="226"/>
      <c r="C13" s="226"/>
      <c r="D13" s="226"/>
      <c r="E13" s="226"/>
    </row>
    <row r="14" spans="1:10" s="8" customFormat="1" ht="33.75" customHeight="1">
      <c r="A14" s="219" t="s">
        <v>58</v>
      </c>
      <c r="B14" s="221" t="s">
        <v>155</v>
      </c>
      <c r="C14" s="46" t="s">
        <v>84</v>
      </c>
      <c r="D14" s="46" t="s">
        <v>81</v>
      </c>
      <c r="E14" s="47" t="s">
        <v>145</v>
      </c>
      <c r="F14" s="183"/>
    </row>
    <row r="15" spans="1:10" s="9" customFormat="1" ht="18" customHeight="1">
      <c r="A15" s="220"/>
      <c r="B15" s="222"/>
      <c r="C15" s="24" t="s">
        <v>95</v>
      </c>
      <c r="D15" s="24" t="s">
        <v>95</v>
      </c>
      <c r="E15" s="25" t="s">
        <v>95</v>
      </c>
      <c r="F15" s="180"/>
    </row>
    <row r="16" spans="1:10" s="9" customFormat="1" ht="17.100000000000001" customHeight="1">
      <c r="A16" s="223" t="s">
        <v>192</v>
      </c>
      <c r="B16" s="224"/>
      <c r="C16" s="224"/>
      <c r="D16" s="224"/>
      <c r="E16" s="225"/>
      <c r="F16" s="180"/>
    </row>
    <row r="17" spans="1:10" s="9" customFormat="1" ht="17.100000000000001" customHeight="1">
      <c r="A17" s="165" t="s">
        <v>30</v>
      </c>
      <c r="B17" s="120" t="s">
        <v>148</v>
      </c>
      <c r="C17" s="14"/>
      <c r="D17" s="23"/>
      <c r="E17" s="98"/>
      <c r="F17" s="180"/>
    </row>
    <row r="18" spans="1:10" s="9" customFormat="1" ht="17.100000000000001" customHeight="1">
      <c r="A18" s="167" t="s">
        <v>165</v>
      </c>
      <c r="B18" s="168" t="str">
        <f>Date!D4</f>
        <v>Infrastructură CF</v>
      </c>
      <c r="C18" s="166">
        <v>18965800</v>
      </c>
      <c r="D18" s="23">
        <f>C18*Date!$C$14</f>
        <v>3603502</v>
      </c>
      <c r="E18" s="98">
        <f t="shared" ref="E18:E22" si="0">C18+D18</f>
        <v>22569302</v>
      </c>
      <c r="F18" s="180"/>
      <c r="G18" s="175"/>
      <c r="H18" s="199"/>
      <c r="J18" s="199"/>
    </row>
    <row r="19" spans="1:10" s="9" customFormat="1" ht="17.100000000000001" customHeight="1">
      <c r="A19" s="167" t="s">
        <v>166</v>
      </c>
      <c r="B19" s="168" t="str">
        <f>Date!D5</f>
        <v>Suprastructura CF</v>
      </c>
      <c r="C19" s="14">
        <v>75820800</v>
      </c>
      <c r="D19" s="23">
        <f>C19*Date!$C$14</f>
        <v>14405952</v>
      </c>
      <c r="E19" s="98">
        <f t="shared" si="0"/>
        <v>90226752</v>
      </c>
      <c r="F19" s="180"/>
      <c r="G19" s="175"/>
      <c r="H19" s="199"/>
      <c r="J19" s="199"/>
    </row>
    <row r="20" spans="1:10" s="9" customFormat="1" ht="17.100000000000001" customHeight="1">
      <c r="A20" s="167" t="s">
        <v>167</v>
      </c>
      <c r="B20" s="168" t="str">
        <f>Date!D6</f>
        <v>Instalații CE</v>
      </c>
      <c r="C20" s="166">
        <v>20190455</v>
      </c>
      <c r="D20" s="23">
        <f>C20*Date!$C$14</f>
        <v>3836186.45</v>
      </c>
      <c r="E20" s="98">
        <f t="shared" si="0"/>
        <v>24026641.449999999</v>
      </c>
      <c r="F20" s="180"/>
      <c r="G20" s="175">
        <v>7587020.0800000001</v>
      </c>
      <c r="H20" s="199">
        <f>G20*Date!C22</f>
        <v>35352478.764768004</v>
      </c>
      <c r="J20" s="199"/>
    </row>
    <row r="21" spans="1:10" s="9" customFormat="1" ht="17.100000000000001" customHeight="1">
      <c r="A21" s="167" t="s">
        <v>168</v>
      </c>
      <c r="B21" s="168" t="str">
        <f>Date!D7</f>
        <v>Telecomunicații</v>
      </c>
      <c r="C21" s="166">
        <v>1959600</v>
      </c>
      <c r="D21" s="23">
        <f>C21*Date!$C$14</f>
        <v>372324</v>
      </c>
      <c r="E21" s="98">
        <f t="shared" si="0"/>
        <v>2331924</v>
      </c>
      <c r="F21" s="180"/>
      <c r="G21" s="175"/>
      <c r="H21" s="199"/>
      <c r="J21" s="199"/>
    </row>
    <row r="22" spans="1:10" s="9" customFormat="1" ht="17.100000000000001" customHeight="1">
      <c r="A22" s="167" t="s">
        <v>169</v>
      </c>
      <c r="B22" s="168" t="str">
        <f>Date!D8</f>
        <v>Lucrări de electrificare - linie de contact</v>
      </c>
      <c r="C22" s="166">
        <v>14095400</v>
      </c>
      <c r="D22" s="23">
        <f>C22*Date!$C$14</f>
        <v>2678126</v>
      </c>
      <c r="E22" s="98">
        <f t="shared" si="0"/>
        <v>16773526</v>
      </c>
      <c r="F22" s="180"/>
      <c r="H22" s="199"/>
      <c r="J22" s="199"/>
    </row>
    <row r="23" spans="1:10" s="9" customFormat="1" ht="17.100000000000001" customHeight="1">
      <c r="A23" s="167" t="s">
        <v>219</v>
      </c>
      <c r="B23" s="168" t="str">
        <f>Date!D9</f>
        <v>Lucrări de electrificare - protecția instalațiilor din cale</v>
      </c>
      <c r="C23" s="14">
        <v>2030375</v>
      </c>
      <c r="D23" s="23">
        <f>C23*Date!$C$14</f>
        <v>385771.25</v>
      </c>
      <c r="E23" s="98">
        <f>C23+D23</f>
        <v>2416146.25</v>
      </c>
      <c r="F23" s="180"/>
      <c r="H23" s="199"/>
      <c r="J23" s="199"/>
    </row>
    <row r="24" spans="1:10" s="9" customFormat="1" ht="17.100000000000001" customHeight="1">
      <c r="A24" s="167" t="s">
        <v>220</v>
      </c>
      <c r="B24" s="168" t="str">
        <f>Date!D10</f>
        <v>Lucrări de electrificare - energoalimentare</v>
      </c>
      <c r="C24" s="14">
        <v>8512095</v>
      </c>
      <c r="D24" s="23">
        <f>C24*Date!$C$14</f>
        <v>1617298.05</v>
      </c>
      <c r="E24" s="98">
        <f>C24+D24</f>
        <v>10129393.050000001</v>
      </c>
      <c r="F24" s="180"/>
      <c r="H24" s="199"/>
      <c r="J24" s="199"/>
    </row>
    <row r="25" spans="1:10" s="9" customFormat="1" ht="17.100000000000001" customHeight="1">
      <c r="A25" s="167" t="s">
        <v>249</v>
      </c>
      <c r="B25" s="168" t="str">
        <f>Date!D11</f>
        <v>Lucrări de civile - Construcții civile</v>
      </c>
      <c r="C25" s="166">
        <v>18515686</v>
      </c>
      <c r="D25" s="23">
        <f>C25*Date!$C$14</f>
        <v>3517980.34</v>
      </c>
      <c r="E25" s="98">
        <f>C25+D25</f>
        <v>22033666.34</v>
      </c>
      <c r="F25" s="180"/>
      <c r="G25" s="175"/>
      <c r="H25" s="199"/>
      <c r="J25" s="199"/>
    </row>
    <row r="26" spans="1:10" s="9" customFormat="1" ht="17.100000000000001" customHeight="1">
      <c r="A26" s="167" t="s">
        <v>250</v>
      </c>
      <c r="B26" s="168" t="str">
        <f>Date!D12</f>
        <v>Lucrări de civile - Instalatii electrice</v>
      </c>
      <c r="C26" s="14">
        <v>761124</v>
      </c>
      <c r="D26" s="23">
        <f>C26*Date!$C$14</f>
        <v>144613.56</v>
      </c>
      <c r="E26" s="98">
        <f>C26+D26</f>
        <v>905737.56</v>
      </c>
      <c r="F26" s="180"/>
      <c r="H26" s="199"/>
      <c r="J26" s="199"/>
    </row>
    <row r="27" spans="1:10" ht="17.100000000000001" customHeight="1">
      <c r="A27" s="228" t="s">
        <v>149</v>
      </c>
      <c r="B27" s="229"/>
      <c r="C27" s="170">
        <f>SUM(C19:C26)+C18</f>
        <v>160851335</v>
      </c>
      <c r="D27" s="170">
        <f>C27*Date!$C$14</f>
        <v>30561753.649999999</v>
      </c>
      <c r="E27" s="171">
        <f>C27+D27</f>
        <v>191413088.65000001</v>
      </c>
      <c r="H27" s="199"/>
      <c r="J27" s="199"/>
    </row>
    <row r="28" spans="1:10" ht="17.100000000000001" customHeight="1">
      <c r="A28" s="51" t="s">
        <v>31</v>
      </c>
      <c r="B28" s="112" t="s">
        <v>150</v>
      </c>
      <c r="C28" s="113"/>
      <c r="D28" s="113"/>
      <c r="E28" s="114"/>
      <c r="H28" s="199"/>
      <c r="J28" s="199"/>
    </row>
    <row r="29" spans="1:10" ht="17.100000000000001" customHeight="1">
      <c r="A29" s="169" t="s">
        <v>40</v>
      </c>
      <c r="B29" s="168" t="s">
        <v>257</v>
      </c>
      <c r="C29" s="172">
        <v>1485735</v>
      </c>
      <c r="D29" s="23">
        <f>C29*Date!$C$14</f>
        <v>282289.65000000002</v>
      </c>
      <c r="E29" s="98">
        <f>C29+D29</f>
        <v>1768024.65</v>
      </c>
      <c r="H29" s="199"/>
      <c r="J29" s="199"/>
    </row>
    <row r="30" spans="1:10" ht="17.100000000000001" customHeight="1">
      <c r="A30" s="169" t="s">
        <v>73</v>
      </c>
      <c r="B30" s="168" t="s">
        <v>214</v>
      </c>
      <c r="C30" s="172">
        <v>253920</v>
      </c>
      <c r="D30" s="23">
        <f>C30*Date!$C$14</f>
        <v>48244.800000000003</v>
      </c>
      <c r="E30" s="98">
        <f>C30+D30</f>
        <v>302164.8</v>
      </c>
      <c r="H30" s="199"/>
      <c r="J30" s="199"/>
    </row>
    <row r="31" spans="1:10" ht="17.100000000000001" customHeight="1">
      <c r="A31" s="169" t="s">
        <v>224</v>
      </c>
      <c r="B31" s="168" t="s">
        <v>258</v>
      </c>
      <c r="C31" s="166">
        <v>5674730</v>
      </c>
      <c r="D31" s="23">
        <f>C31*Date!$C$14</f>
        <v>1078198.7</v>
      </c>
      <c r="E31" s="98">
        <f>C31+D31</f>
        <v>6752928.7000000002</v>
      </c>
      <c r="H31" s="199"/>
      <c r="J31" s="199"/>
    </row>
    <row r="32" spans="1:10" ht="17.100000000000001" customHeight="1">
      <c r="A32" s="228" t="s">
        <v>151</v>
      </c>
      <c r="B32" s="229"/>
      <c r="C32" s="170">
        <f>SUM(C29:C31)</f>
        <v>7414385</v>
      </c>
      <c r="D32" s="170">
        <f>C32*Date!$C$14</f>
        <v>1408733.15</v>
      </c>
      <c r="E32" s="171">
        <f t="shared" ref="E32:E41" si="1">C32+D32</f>
        <v>8823118.1500000004</v>
      </c>
      <c r="H32" s="199"/>
      <c r="J32" s="199"/>
    </row>
    <row r="33" spans="1:10" ht="17.100000000000001" customHeight="1">
      <c r="A33" s="51" t="s">
        <v>32</v>
      </c>
      <c r="B33" s="15" t="s">
        <v>134</v>
      </c>
      <c r="C33" s="121">
        <f>C34+C35+C36</f>
        <v>28574135</v>
      </c>
      <c r="D33" s="122">
        <f>C33*Date!$C$14</f>
        <v>5429085.6500000004</v>
      </c>
      <c r="E33" s="123">
        <f t="shared" si="1"/>
        <v>34003220.649999999</v>
      </c>
      <c r="G33" s="10"/>
      <c r="H33" s="199"/>
      <c r="J33" s="199"/>
    </row>
    <row r="34" spans="1:10" ht="17.100000000000001" customHeight="1">
      <c r="A34" s="51" t="s">
        <v>194</v>
      </c>
      <c r="B34" s="168" t="s">
        <v>257</v>
      </c>
      <c r="C34" s="14">
        <v>13371630</v>
      </c>
      <c r="D34" s="23">
        <f>C34*Date!$C$14</f>
        <v>2540609.7000000002</v>
      </c>
      <c r="E34" s="98">
        <f t="shared" si="1"/>
        <v>15912239.699999999</v>
      </c>
      <c r="G34" s="10"/>
      <c r="H34" s="199"/>
      <c r="J34" s="199"/>
    </row>
    <row r="35" spans="1:10" ht="17.100000000000001" customHeight="1">
      <c r="A35" s="51" t="s">
        <v>195</v>
      </c>
      <c r="B35" s="168" t="s">
        <v>214</v>
      </c>
      <c r="C35" s="14">
        <v>1015680</v>
      </c>
      <c r="D35" s="23">
        <f>C35*Date!$C$14</f>
        <v>192979.20000000001</v>
      </c>
      <c r="E35" s="98">
        <f t="shared" ref="E35" si="2">C35+D35</f>
        <v>1208659.2</v>
      </c>
      <c r="G35" s="10"/>
      <c r="H35" s="199"/>
      <c r="J35" s="199"/>
    </row>
    <row r="36" spans="1:10" ht="17.100000000000001" customHeight="1">
      <c r="A36" s="51" t="s">
        <v>225</v>
      </c>
      <c r="B36" s="168" t="s">
        <v>258</v>
      </c>
      <c r="C36" s="166">
        <v>14186825</v>
      </c>
      <c r="D36" s="23">
        <f>C36*Date!$C$14</f>
        <v>2695496.75</v>
      </c>
      <c r="E36" s="98">
        <f t="shared" si="1"/>
        <v>16882321.75</v>
      </c>
      <c r="G36" s="10"/>
      <c r="H36" s="199"/>
      <c r="J36" s="199"/>
    </row>
    <row r="37" spans="1:10" ht="33.950000000000003" customHeight="1">
      <c r="A37" s="51" t="s">
        <v>33</v>
      </c>
      <c r="B37" s="15" t="s">
        <v>135</v>
      </c>
      <c r="C37" s="14">
        <v>0</v>
      </c>
      <c r="D37" s="23">
        <f>C37*Date!$C$14</f>
        <v>0</v>
      </c>
      <c r="E37" s="98">
        <f t="shared" si="1"/>
        <v>0</v>
      </c>
      <c r="G37" s="10"/>
      <c r="H37" s="199"/>
      <c r="J37" s="199"/>
    </row>
    <row r="38" spans="1:10" ht="17.100000000000001" customHeight="1">
      <c r="A38" s="51" t="s">
        <v>221</v>
      </c>
      <c r="B38" s="15" t="s">
        <v>152</v>
      </c>
      <c r="C38" s="166">
        <f>F38*Date!$C$22</f>
        <v>0</v>
      </c>
      <c r="D38" s="23">
        <f>C38*Date!$C$14</f>
        <v>0</v>
      </c>
      <c r="E38" s="98">
        <f t="shared" si="1"/>
        <v>0</v>
      </c>
      <c r="G38" s="175"/>
      <c r="H38" s="199"/>
      <c r="J38" s="199"/>
    </row>
    <row r="39" spans="1:10" ht="17.100000000000001" customHeight="1">
      <c r="A39" s="51" t="s">
        <v>222</v>
      </c>
      <c r="B39" s="15" t="s">
        <v>79</v>
      </c>
      <c r="C39" s="14">
        <v>0</v>
      </c>
      <c r="D39" s="23">
        <f>C39*Date!$C$14</f>
        <v>0</v>
      </c>
      <c r="E39" s="98">
        <f t="shared" si="1"/>
        <v>0</v>
      </c>
      <c r="G39" s="10"/>
      <c r="H39" s="199"/>
      <c r="J39" s="199"/>
    </row>
    <row r="40" spans="1:10" ht="17.100000000000001" customHeight="1">
      <c r="A40" s="230" t="s">
        <v>153</v>
      </c>
      <c r="B40" s="231"/>
      <c r="C40" s="170">
        <f>C33+C37+C38+C39</f>
        <v>28574135</v>
      </c>
      <c r="D40" s="173">
        <f>C40*Date!$C$14</f>
        <v>5429085.6500000004</v>
      </c>
      <c r="E40" s="174">
        <f t="shared" si="1"/>
        <v>34003220.649999999</v>
      </c>
      <c r="H40" s="199"/>
      <c r="J40" s="199"/>
    </row>
    <row r="41" spans="1:10" ht="30" customHeight="1" thickBot="1">
      <c r="A41" s="115"/>
      <c r="B41" s="116" t="s">
        <v>154</v>
      </c>
      <c r="C41" s="26">
        <f>C32+C40+C27</f>
        <v>196839855</v>
      </c>
      <c r="D41" s="26">
        <f>C41*Date!$C$14</f>
        <v>37399572.450000003</v>
      </c>
      <c r="E41" s="100">
        <f t="shared" si="1"/>
        <v>234239427.44999999</v>
      </c>
      <c r="H41" s="199"/>
      <c r="J41" s="199"/>
    </row>
    <row r="42" spans="1:10" ht="15">
      <c r="A42" s="5"/>
      <c r="B42" s="5"/>
      <c r="C42" s="6"/>
      <c r="D42" s="6"/>
      <c r="E42" s="6"/>
    </row>
    <row r="43" spans="1:10" ht="20.100000000000001" customHeight="1">
      <c r="A43" s="11"/>
      <c r="B43" s="11"/>
      <c r="C43" s="215"/>
      <c r="D43" s="215"/>
      <c r="E43" s="215"/>
    </row>
    <row r="44" spans="1:10" ht="20.100000000000001" customHeight="1">
      <c r="A44" s="11"/>
      <c r="B44" s="11"/>
      <c r="C44" s="215"/>
      <c r="D44" s="215"/>
      <c r="E44" s="215"/>
    </row>
    <row r="45" spans="1:10">
      <c r="A45" s="22"/>
      <c r="B45" s="22"/>
      <c r="C45" s="21"/>
      <c r="D45" s="21"/>
      <c r="E45" s="21"/>
    </row>
    <row r="46" spans="1:10" ht="15.75">
      <c r="C46" s="9"/>
      <c r="D46" s="9"/>
      <c r="E46" s="9"/>
    </row>
    <row r="47" spans="1:10" ht="15.75">
      <c r="C47" s="9"/>
      <c r="D47" s="9"/>
      <c r="E47" s="9"/>
    </row>
    <row r="48" spans="1:10" ht="15.75">
      <c r="C48" s="9"/>
      <c r="D48" s="9"/>
      <c r="E48" s="9"/>
    </row>
    <row r="49" spans="3:6" ht="15.75">
      <c r="C49" s="9"/>
      <c r="D49" s="9"/>
      <c r="E49" s="9"/>
    </row>
    <row r="50" spans="3:6" ht="15.75">
      <c r="C50" s="9"/>
      <c r="D50" s="9"/>
      <c r="E50" s="9"/>
    </row>
    <row r="51" spans="3:6" ht="15.75">
      <c r="C51" s="9"/>
      <c r="D51" s="9"/>
      <c r="E51" s="9"/>
    </row>
    <row r="52" spans="3:6" ht="15.75">
      <c r="C52" s="9"/>
      <c r="D52" s="9"/>
      <c r="E52" s="9"/>
    </row>
    <row r="53" spans="3:6" ht="15.75">
      <c r="C53" s="9"/>
      <c r="D53" s="9"/>
      <c r="E53" s="9"/>
    </row>
    <row r="54" spans="3:6" ht="15.75">
      <c r="C54" s="9"/>
      <c r="D54" s="9"/>
      <c r="E54" s="9"/>
    </row>
    <row r="55" spans="3:6" ht="15.75">
      <c r="C55" s="9"/>
      <c r="D55" s="9"/>
      <c r="E55" s="9"/>
      <c r="F55" s="180"/>
    </row>
    <row r="56" spans="3:6" ht="15.75">
      <c r="C56" s="9"/>
      <c r="D56" s="9"/>
      <c r="E56" s="9"/>
    </row>
    <row r="57" spans="3:6" ht="15.75">
      <c r="C57" s="9"/>
      <c r="D57" s="9"/>
      <c r="E57" s="9"/>
    </row>
    <row r="58" spans="3:6" ht="15.75">
      <c r="C58" s="9"/>
      <c r="D58" s="9"/>
      <c r="E58" s="9"/>
    </row>
    <row r="59" spans="3:6" ht="15.75">
      <c r="C59" s="9"/>
      <c r="D59" s="9"/>
      <c r="E59" s="9"/>
    </row>
    <row r="60" spans="3:6" ht="15.75">
      <c r="C60" s="9"/>
      <c r="D60" s="9"/>
      <c r="E60" s="9"/>
    </row>
    <row r="61" spans="3:6" ht="15.75">
      <c r="C61" s="9"/>
      <c r="D61" s="9"/>
      <c r="E61" s="9"/>
    </row>
    <row r="62" spans="3:6" ht="15.75">
      <c r="C62" s="9"/>
      <c r="D62" s="9"/>
      <c r="E62" s="9"/>
    </row>
    <row r="63" spans="3:6" ht="15.75">
      <c r="C63" s="9"/>
      <c r="D63" s="9"/>
      <c r="E63" s="9"/>
    </row>
    <row r="64" spans="3:6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  <row r="2561" spans="3:5" ht="15.75">
      <c r="C2561" s="9"/>
      <c r="D2561" s="9"/>
      <c r="E2561" s="9"/>
    </row>
    <row r="2562" spans="3:5" ht="15.75">
      <c r="C2562" s="9"/>
      <c r="D2562" s="9"/>
      <c r="E2562" s="9"/>
    </row>
    <row r="2563" spans="3:5" ht="15.75">
      <c r="C2563" s="9"/>
      <c r="D2563" s="9"/>
      <c r="E2563" s="9"/>
    </row>
    <row r="2564" spans="3:5" ht="15.75">
      <c r="C2564" s="9"/>
      <c r="D2564" s="9"/>
      <c r="E2564" s="9"/>
    </row>
    <row r="2565" spans="3:5" ht="15.75">
      <c r="C2565" s="9"/>
      <c r="D2565" s="9"/>
      <c r="E2565" s="9"/>
    </row>
    <row r="2566" spans="3:5" ht="15.75">
      <c r="C2566" s="9"/>
      <c r="D2566" s="9"/>
      <c r="E2566" s="9"/>
    </row>
    <row r="2567" spans="3:5" ht="15.75">
      <c r="C2567" s="9"/>
      <c r="D2567" s="9"/>
      <c r="E2567" s="9"/>
    </row>
    <row r="2568" spans="3:5" ht="15.75">
      <c r="C2568" s="9"/>
      <c r="D2568" s="9"/>
      <c r="E2568" s="9"/>
    </row>
    <row r="2569" spans="3:5" ht="15.75">
      <c r="C2569" s="9"/>
      <c r="D2569" s="9"/>
      <c r="E2569" s="9"/>
    </row>
    <row r="2570" spans="3:5" ht="15.75">
      <c r="C2570" s="9"/>
      <c r="D2570" s="9"/>
      <c r="E2570" s="9"/>
    </row>
    <row r="2571" spans="3:5" ht="15.75">
      <c r="C2571" s="9"/>
      <c r="D2571" s="9"/>
      <c r="E2571" s="9"/>
    </row>
    <row r="2572" spans="3:5" ht="15.75">
      <c r="C2572" s="9"/>
      <c r="D2572" s="9"/>
      <c r="E2572" s="9"/>
    </row>
    <row r="2573" spans="3:5" ht="15.75">
      <c r="C2573" s="9"/>
      <c r="D2573" s="9"/>
      <c r="E2573" s="9"/>
    </row>
    <row r="2574" spans="3:5" ht="15.75">
      <c r="C2574" s="9"/>
      <c r="D2574" s="9"/>
      <c r="E2574" s="9"/>
    </row>
    <row r="2575" spans="3:5" ht="15.75">
      <c r="C2575" s="9"/>
      <c r="D2575" s="9"/>
      <c r="E2575" s="9"/>
    </row>
    <row r="2576" spans="3:5" ht="15.75">
      <c r="C2576" s="9"/>
      <c r="D2576" s="9"/>
      <c r="E2576" s="9"/>
    </row>
  </sheetData>
  <mergeCells count="17">
    <mergeCell ref="A1:E1"/>
    <mergeCell ref="A2:E2"/>
    <mergeCell ref="A3:E3"/>
    <mergeCell ref="C44:E44"/>
    <mergeCell ref="C43:E43"/>
    <mergeCell ref="A16:E16"/>
    <mergeCell ref="A7:E7"/>
    <mergeCell ref="A5:E5"/>
    <mergeCell ref="A14:A15"/>
    <mergeCell ref="B14:B15"/>
    <mergeCell ref="A12:E12"/>
    <mergeCell ref="A13:E13"/>
    <mergeCell ref="A27:B27"/>
    <mergeCell ref="A32:B32"/>
    <mergeCell ref="A40:B40"/>
    <mergeCell ref="A9:E9"/>
    <mergeCell ref="A10:E10"/>
  </mergeCells>
  <phoneticPr fontId="10" type="noConversion"/>
  <pageMargins left="0.75" right="0.17" top="0.5" bottom="0.48" header="0.5" footer="0.5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60"/>
  <sheetViews>
    <sheetView tabSelected="1" view="pageBreakPreview" topLeftCell="A10" zoomScaleNormal="75" zoomScaleSheetLayoutView="100" workbookViewId="0">
      <selection activeCell="A10" sqref="A10:E10"/>
    </sheetView>
  </sheetViews>
  <sheetFormatPr defaultRowHeight="12.75"/>
  <cols>
    <col min="1" max="1" width="8.140625" style="7" customWidth="1"/>
    <col min="2" max="2" width="70.7109375" style="7" customWidth="1"/>
    <col min="3" max="3" width="13.85546875" style="7" bestFit="1" customWidth="1"/>
    <col min="4" max="4" width="12.7109375" style="7" customWidth="1"/>
    <col min="5" max="5" width="13.85546875" style="7" bestFit="1" customWidth="1"/>
    <col min="6" max="6" width="9.140625" style="7"/>
    <col min="7" max="7" width="14.85546875" style="7" customWidth="1"/>
    <col min="8" max="9" width="9.140625" style="7"/>
    <col min="10" max="10" width="11" style="7" bestFit="1" customWidth="1"/>
    <col min="11" max="16384" width="9.140625" style="7"/>
  </cols>
  <sheetData>
    <row r="1" spans="1:5" customFormat="1" ht="21.75" customHeight="1">
      <c r="A1" s="265" t="s">
        <v>275</v>
      </c>
      <c r="B1" s="265"/>
      <c r="C1" s="265"/>
      <c r="D1" s="265"/>
      <c r="E1" s="265"/>
    </row>
    <row r="2" spans="1:5" s="28" customFormat="1" ht="18">
      <c r="A2" s="266" t="s">
        <v>92</v>
      </c>
      <c r="B2" s="266"/>
      <c r="C2" s="266"/>
      <c r="D2" s="266"/>
      <c r="E2" s="266"/>
    </row>
    <row r="3" spans="1:5" s="28" customFormat="1" ht="38.25" customHeight="1">
      <c r="A3" s="267" t="s">
        <v>276</v>
      </c>
      <c r="B3" s="268"/>
      <c r="C3" s="268"/>
      <c r="D3" s="268"/>
      <c r="E3" s="268"/>
    </row>
    <row r="4" spans="1:5" s="28" customFormat="1" ht="16.5" customHeight="1">
      <c r="A4" s="30"/>
      <c r="B4" s="43"/>
      <c r="C4" s="33"/>
      <c r="D4" s="35"/>
      <c r="E4" s="35"/>
    </row>
    <row r="5" spans="1:5" s="28" customFormat="1" ht="16.5" customHeight="1">
      <c r="A5" s="217" t="s">
        <v>59</v>
      </c>
      <c r="B5" s="217"/>
      <c r="C5" s="217"/>
      <c r="D5" s="217"/>
      <c r="E5" s="217"/>
    </row>
    <row r="6" spans="1:5" s="28" customFormat="1" ht="16.5" customHeight="1">
      <c r="A6" s="209"/>
      <c r="B6" s="209"/>
      <c r="C6" s="209"/>
      <c r="D6" s="209"/>
      <c r="E6" s="209"/>
    </row>
    <row r="7" spans="1:5" s="29" customFormat="1" ht="51.75" customHeight="1">
      <c r="A7" s="216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17"/>
      <c r="C7" s="217"/>
      <c r="D7" s="217"/>
      <c r="E7" s="217"/>
    </row>
    <row r="8" spans="1:5" s="29" customFormat="1" ht="15.75" customHeight="1">
      <c r="A8" s="208"/>
      <c r="B8" s="209"/>
      <c r="C8" s="209"/>
      <c r="D8" s="209"/>
      <c r="E8" s="209"/>
    </row>
    <row r="9" spans="1:5" ht="15.75">
      <c r="A9" s="227" t="s">
        <v>253</v>
      </c>
      <c r="B9" s="227"/>
      <c r="C9" s="227"/>
      <c r="D9" s="227"/>
      <c r="E9" s="227"/>
    </row>
    <row r="10" spans="1:5" ht="15.75">
      <c r="A10" s="227" t="s">
        <v>255</v>
      </c>
      <c r="B10" s="227"/>
      <c r="C10" s="227"/>
      <c r="D10" s="227"/>
      <c r="E10" s="227"/>
    </row>
    <row r="12" spans="1:5" ht="15.75">
      <c r="A12" s="218" t="s">
        <v>193</v>
      </c>
      <c r="B12" s="218"/>
      <c r="C12" s="218"/>
      <c r="D12" s="218"/>
      <c r="E12" s="218"/>
    </row>
    <row r="13" spans="1:5" ht="15" customHeight="1" thickBot="1"/>
    <row r="14" spans="1:5" s="8" customFormat="1" ht="33.75" customHeight="1">
      <c r="A14" s="219" t="s">
        <v>58</v>
      </c>
      <c r="B14" s="221" t="s">
        <v>155</v>
      </c>
      <c r="C14" s="46" t="s">
        <v>84</v>
      </c>
      <c r="D14" s="46" t="s">
        <v>81</v>
      </c>
      <c r="E14" s="47" t="s">
        <v>145</v>
      </c>
    </row>
    <row r="15" spans="1:5" s="9" customFormat="1" ht="18" customHeight="1">
      <c r="A15" s="220"/>
      <c r="B15" s="222"/>
      <c r="C15" s="24" t="s">
        <v>95</v>
      </c>
      <c r="D15" s="24" t="s">
        <v>95</v>
      </c>
      <c r="E15" s="25" t="s">
        <v>95</v>
      </c>
    </row>
    <row r="16" spans="1:5" s="9" customFormat="1" ht="17.100000000000001" customHeight="1">
      <c r="A16" s="223" t="s">
        <v>180</v>
      </c>
      <c r="B16" s="224"/>
      <c r="C16" s="224"/>
      <c r="D16" s="224"/>
      <c r="E16" s="225"/>
    </row>
    <row r="17" spans="1:9" s="9" customFormat="1" ht="17.100000000000001" customHeight="1">
      <c r="A17" s="50" t="s">
        <v>42</v>
      </c>
      <c r="B17" s="42" t="s">
        <v>162</v>
      </c>
      <c r="C17" s="14"/>
      <c r="D17" s="23"/>
      <c r="E17" s="98"/>
      <c r="G17" s="187"/>
    </row>
    <row r="18" spans="1:9" s="9" customFormat="1" ht="17.100000000000001" customHeight="1">
      <c r="A18" s="13" t="s">
        <v>181</v>
      </c>
      <c r="B18" s="42" t="s">
        <v>187</v>
      </c>
      <c r="C18" s="14">
        <v>600000</v>
      </c>
      <c r="D18" s="23">
        <f>C18*Date!$C$14</f>
        <v>114000</v>
      </c>
      <c r="E18" s="98">
        <f>C18+D18</f>
        <v>714000</v>
      </c>
      <c r="G18" s="188"/>
    </row>
    <row r="19" spans="1:9" s="9" customFormat="1" ht="17.100000000000001" customHeight="1">
      <c r="A19" s="13" t="s">
        <v>186</v>
      </c>
      <c r="B19" s="42" t="s">
        <v>188</v>
      </c>
      <c r="C19" s="14">
        <v>100000</v>
      </c>
      <c r="D19" s="23">
        <f>C19*Date!$C$14</f>
        <v>19000</v>
      </c>
      <c r="E19" s="98">
        <f>C19+D19</f>
        <v>119000</v>
      </c>
      <c r="G19" s="188"/>
    </row>
    <row r="20" spans="1:9" ht="17.100000000000001" customHeight="1">
      <c r="A20" s="110"/>
      <c r="B20" s="111" t="s">
        <v>184</v>
      </c>
      <c r="C20" s="16">
        <f>SUM(C18:C19)</f>
        <v>700000</v>
      </c>
      <c r="D20" s="16">
        <f>C20*Date!$C$14</f>
        <v>133000</v>
      </c>
      <c r="E20" s="99">
        <f>C20+D20</f>
        <v>833000</v>
      </c>
      <c r="G20" s="189"/>
    </row>
    <row r="21" spans="1:9" ht="17.100000000000001" customHeight="1">
      <c r="A21" s="51" t="s">
        <v>43</v>
      </c>
      <c r="B21" s="112" t="s">
        <v>163</v>
      </c>
      <c r="C21" s="117"/>
      <c r="D21" s="117"/>
      <c r="E21" s="118"/>
      <c r="G21" s="189"/>
    </row>
    <row r="22" spans="1:9" ht="17.100000000000001" customHeight="1">
      <c r="A22" s="13" t="s">
        <v>182</v>
      </c>
      <c r="B22" s="15" t="s">
        <v>163</v>
      </c>
      <c r="C22" s="14">
        <v>800000</v>
      </c>
      <c r="D22" s="14">
        <f>C22*Date!$C$14</f>
        <v>152000</v>
      </c>
      <c r="E22" s="14">
        <f>C22+D22</f>
        <v>952000</v>
      </c>
      <c r="H22" s="10"/>
      <c r="I22" s="10"/>
    </row>
    <row r="23" spans="1:9" ht="17.100000000000001" customHeight="1">
      <c r="A23" s="13" t="s">
        <v>183</v>
      </c>
      <c r="B23" s="15"/>
      <c r="C23" s="14">
        <v>0</v>
      </c>
      <c r="D23" s="14">
        <f>C23*Date!$C$14</f>
        <v>0</v>
      </c>
      <c r="E23" s="14">
        <f>C23+D23</f>
        <v>0</v>
      </c>
    </row>
    <row r="24" spans="1:9" ht="17.100000000000001" customHeight="1">
      <c r="A24" s="110"/>
      <c r="B24" s="111" t="s">
        <v>185</v>
      </c>
      <c r="C24" s="16">
        <f>C22+C23</f>
        <v>800000</v>
      </c>
      <c r="D24" s="16">
        <f>C24*Date!$C$14</f>
        <v>152000</v>
      </c>
      <c r="E24" s="99">
        <f>C24+D24</f>
        <v>952000</v>
      </c>
    </row>
    <row r="25" spans="1:9" ht="30" customHeight="1" thickBot="1">
      <c r="A25" s="115"/>
      <c r="B25" s="116" t="s">
        <v>189</v>
      </c>
      <c r="C25" s="26">
        <f>C20+C24</f>
        <v>1500000</v>
      </c>
      <c r="D25" s="26">
        <f>C25*Date!$C$14</f>
        <v>285000</v>
      </c>
      <c r="E25" s="100">
        <f>C25+D25</f>
        <v>1785000</v>
      </c>
    </row>
    <row r="26" spans="1:9" ht="15">
      <c r="A26" s="5"/>
      <c r="B26" s="5"/>
      <c r="C26" s="6"/>
      <c r="D26" s="6"/>
      <c r="E26" s="6"/>
    </row>
    <row r="27" spans="1:9" ht="20.100000000000001" customHeight="1">
      <c r="A27" s="11"/>
      <c r="B27" s="11"/>
      <c r="C27" s="215"/>
      <c r="D27" s="215"/>
      <c r="E27" s="215"/>
    </row>
    <row r="28" spans="1:9" ht="20.100000000000001" customHeight="1">
      <c r="A28" s="11"/>
      <c r="B28" s="11"/>
      <c r="C28" s="215"/>
      <c r="D28" s="215"/>
      <c r="E28" s="215"/>
    </row>
    <row r="29" spans="1:9">
      <c r="A29" s="22"/>
      <c r="B29" s="22"/>
      <c r="C29" s="21"/>
      <c r="D29" s="21"/>
      <c r="E29" s="21"/>
    </row>
    <row r="30" spans="1:9" ht="15.75">
      <c r="C30" s="9"/>
      <c r="D30" s="9"/>
      <c r="E30" s="9"/>
    </row>
    <row r="31" spans="1:9" ht="15.75">
      <c r="C31" s="9"/>
      <c r="D31" s="9"/>
      <c r="E31" s="9"/>
    </row>
    <row r="32" spans="1:9" ht="15.75">
      <c r="C32" s="9"/>
      <c r="D32" s="9"/>
      <c r="E32" s="9"/>
    </row>
    <row r="33" spans="3:6" ht="15.75">
      <c r="C33" s="9"/>
      <c r="D33" s="9"/>
      <c r="E33" s="9"/>
    </row>
    <row r="34" spans="3:6" ht="15.75">
      <c r="C34" s="9"/>
      <c r="D34" s="9"/>
      <c r="E34" s="9"/>
    </row>
    <row r="35" spans="3:6" ht="15.75">
      <c r="C35" s="9"/>
      <c r="D35" s="9"/>
      <c r="E35" s="9"/>
    </row>
    <row r="36" spans="3:6" ht="15.75">
      <c r="C36" s="9"/>
      <c r="D36" s="9"/>
      <c r="E36" s="9"/>
    </row>
    <row r="37" spans="3:6" ht="15.75">
      <c r="C37" s="9"/>
      <c r="D37" s="9"/>
      <c r="E37" s="9"/>
    </row>
    <row r="38" spans="3:6" ht="15.75">
      <c r="C38" s="9"/>
      <c r="D38" s="9"/>
      <c r="E38" s="9"/>
    </row>
    <row r="39" spans="3:6" ht="15.75">
      <c r="C39" s="9"/>
      <c r="D39" s="9"/>
      <c r="E39" s="9"/>
      <c r="F39" s="9"/>
    </row>
    <row r="40" spans="3:6" ht="15.75">
      <c r="C40" s="9"/>
      <c r="D40" s="9"/>
      <c r="E40" s="9"/>
    </row>
    <row r="41" spans="3:6" ht="15.75">
      <c r="C41" s="9"/>
      <c r="D41" s="9"/>
      <c r="E41" s="9"/>
    </row>
    <row r="42" spans="3:6" ht="15.75">
      <c r="C42" s="9"/>
      <c r="D42" s="9"/>
      <c r="E42" s="9"/>
    </row>
    <row r="43" spans="3:6" ht="15.75">
      <c r="C43" s="9"/>
      <c r="D43" s="9"/>
      <c r="E43" s="9"/>
    </row>
    <row r="44" spans="3:6" ht="15.75">
      <c r="C44" s="9"/>
      <c r="D44" s="9"/>
      <c r="E44" s="9"/>
    </row>
    <row r="45" spans="3:6" ht="15.75">
      <c r="C45" s="9"/>
      <c r="D45" s="9"/>
      <c r="E45" s="9"/>
    </row>
    <row r="46" spans="3:6" ht="15.75">
      <c r="C46" s="9"/>
      <c r="D46" s="9"/>
      <c r="E46" s="9"/>
    </row>
    <row r="47" spans="3:6" ht="15.75">
      <c r="C47" s="9"/>
      <c r="D47" s="9"/>
      <c r="E47" s="9"/>
    </row>
    <row r="48" spans="3:6" ht="15.75">
      <c r="C48" s="9"/>
      <c r="D48" s="9"/>
      <c r="E48" s="9"/>
    </row>
    <row r="49" spans="3:5" ht="15.75">
      <c r="C49" s="9"/>
      <c r="D49" s="9"/>
      <c r="E49" s="9"/>
    </row>
    <row r="50" spans="3:5" ht="15.75">
      <c r="C50" s="9"/>
      <c r="D50" s="9"/>
      <c r="E50" s="9"/>
    </row>
    <row r="51" spans="3:5" ht="15.75">
      <c r="C51" s="9"/>
      <c r="D51" s="9"/>
      <c r="E51" s="9"/>
    </row>
    <row r="52" spans="3:5" ht="15.75">
      <c r="C52" s="9"/>
      <c r="D52" s="9"/>
      <c r="E52" s="9"/>
    </row>
    <row r="53" spans="3:5" ht="15.75">
      <c r="C53" s="9"/>
      <c r="D53" s="9"/>
      <c r="E53" s="9"/>
    </row>
    <row r="54" spans="3:5" ht="15.75">
      <c r="C54" s="9"/>
      <c r="D54" s="9"/>
      <c r="E54" s="9"/>
    </row>
    <row r="55" spans="3:5" ht="15.75">
      <c r="C55" s="9"/>
      <c r="D55" s="9"/>
      <c r="E55" s="9"/>
    </row>
    <row r="56" spans="3:5" ht="15.75">
      <c r="C56" s="9"/>
      <c r="D56" s="9"/>
      <c r="E56" s="9"/>
    </row>
    <row r="57" spans="3:5" ht="15.75">
      <c r="C57" s="9"/>
      <c r="D57" s="9"/>
      <c r="E57" s="9"/>
    </row>
    <row r="58" spans="3:5" ht="15.75">
      <c r="C58" s="9"/>
      <c r="D58" s="9"/>
      <c r="E58" s="9"/>
    </row>
    <row r="59" spans="3:5" ht="15.75">
      <c r="C59" s="9"/>
      <c r="D59" s="9"/>
      <c r="E59" s="9"/>
    </row>
    <row r="60" spans="3:5" ht="15.75">
      <c r="C60" s="9"/>
      <c r="D60" s="9"/>
      <c r="E60" s="9"/>
    </row>
    <row r="61" spans="3:5" ht="15.75">
      <c r="C61" s="9"/>
      <c r="D61" s="9"/>
      <c r="E61" s="9"/>
    </row>
    <row r="62" spans="3:5" ht="15.75">
      <c r="C62" s="9"/>
      <c r="D62" s="9"/>
      <c r="E62" s="9"/>
    </row>
    <row r="63" spans="3:5" ht="15.75">
      <c r="C63" s="9"/>
      <c r="D63" s="9"/>
      <c r="E63" s="9"/>
    </row>
    <row r="64" spans="3:5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</sheetData>
  <mergeCells count="13">
    <mergeCell ref="A1:E1"/>
    <mergeCell ref="A2:E2"/>
    <mergeCell ref="A3:E3"/>
    <mergeCell ref="C27:E27"/>
    <mergeCell ref="C28:E28"/>
    <mergeCell ref="A7:E7"/>
    <mergeCell ref="A5:E5"/>
    <mergeCell ref="A12:E12"/>
    <mergeCell ref="A14:A15"/>
    <mergeCell ref="B14:B15"/>
    <mergeCell ref="A16:E16"/>
    <mergeCell ref="A9:E9"/>
    <mergeCell ref="A10:E10"/>
  </mergeCells>
  <pageMargins left="0.75" right="0.17" top="0.5" bottom="0.48" header="0.5" footer="0.5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3"/>
  <sheetViews>
    <sheetView view="pageBreakPreview" topLeftCell="A121" zoomScale="90" zoomScaleNormal="40" zoomScaleSheetLayoutView="90" workbookViewId="0">
      <selection activeCell="C136" sqref="C136"/>
    </sheetView>
  </sheetViews>
  <sheetFormatPr defaultRowHeight="15"/>
  <cols>
    <col min="1" max="1" width="9.28515625" style="138" customWidth="1"/>
    <col min="2" max="2" width="86.5703125" style="53" customWidth="1"/>
    <col min="3" max="4" width="30.7109375" style="31" customWidth="1"/>
    <col min="5" max="5" width="30.7109375" style="89" customWidth="1"/>
    <col min="6" max="6" width="23.42578125" style="53" customWidth="1"/>
    <col min="7" max="8" width="20.42578125" style="53" customWidth="1"/>
    <col min="9" max="9" width="9.140625" style="53"/>
    <col min="10" max="10" width="20.140625" style="201" customWidth="1"/>
    <col min="11" max="16384" width="9.140625" style="53"/>
  </cols>
  <sheetData>
    <row r="1" spans="1:10" s="206" customFormat="1" ht="19.5" customHeight="1">
      <c r="A1" s="265" t="s">
        <v>275</v>
      </c>
      <c r="B1" s="265"/>
      <c r="C1" s="265"/>
      <c r="D1" s="265"/>
      <c r="E1" s="265"/>
      <c r="G1" s="205"/>
    </row>
    <row r="2" spans="1:10" s="206" customFormat="1" ht="32.25" customHeight="1">
      <c r="A2" s="266" t="s">
        <v>92</v>
      </c>
      <c r="B2" s="266"/>
      <c r="C2" s="266"/>
      <c r="D2" s="266"/>
      <c r="E2" s="266"/>
      <c r="G2" s="205"/>
    </row>
    <row r="3" spans="1:10" ht="37.5" customHeight="1">
      <c r="A3" s="267" t="s">
        <v>276</v>
      </c>
      <c r="B3" s="268"/>
      <c r="C3" s="268"/>
      <c r="D3" s="268"/>
      <c r="E3" s="268"/>
      <c r="F3" s="36"/>
    </row>
    <row r="4" spans="1:10" ht="16.5" customHeight="1">
      <c r="A4" s="129"/>
      <c r="B4" s="43"/>
      <c r="C4" s="33"/>
      <c r="D4" s="232"/>
      <c r="E4" s="232"/>
      <c r="F4" s="207"/>
    </row>
    <row r="5" spans="1:10" ht="16.5" customHeight="1">
      <c r="A5" s="129"/>
      <c r="B5" s="43"/>
      <c r="C5" s="33"/>
      <c r="D5" s="213"/>
      <c r="E5" s="213"/>
      <c r="F5" s="207"/>
    </row>
    <row r="6" spans="1:10" s="54" customFormat="1" ht="16.5" customHeight="1">
      <c r="A6" s="251" t="s">
        <v>0</v>
      </c>
      <c r="B6" s="251"/>
      <c r="C6" s="251"/>
      <c r="D6" s="251"/>
      <c r="E6" s="251"/>
      <c r="J6" s="202"/>
    </row>
    <row r="7" spans="1:10" s="54" customFormat="1" ht="18" customHeight="1">
      <c r="A7" s="269" t="s">
        <v>93</v>
      </c>
      <c r="B7" s="269"/>
      <c r="C7" s="269"/>
      <c r="D7" s="269"/>
      <c r="E7" s="269"/>
      <c r="J7" s="202"/>
    </row>
    <row r="8" spans="1:10" s="54" customFormat="1" ht="18" customHeight="1">
      <c r="A8" s="210"/>
      <c r="B8" s="210"/>
      <c r="C8" s="210"/>
      <c r="D8" s="210"/>
      <c r="E8" s="210"/>
      <c r="J8" s="202"/>
    </row>
    <row r="9" spans="1:10" s="54" customFormat="1" ht="63" customHeight="1">
      <c r="A9" s="253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9" s="254"/>
      <c r="C9" s="254"/>
      <c r="D9" s="254"/>
      <c r="E9" s="254"/>
      <c r="J9" s="202"/>
    </row>
    <row r="10" spans="1:10" s="54" customFormat="1" ht="22.5" customHeight="1">
      <c r="A10" s="211"/>
      <c r="B10" s="212"/>
      <c r="C10" s="212"/>
      <c r="D10" s="212"/>
      <c r="E10" s="212"/>
      <c r="J10" s="202"/>
    </row>
    <row r="11" spans="1:10" s="54" customFormat="1" ht="36" customHeight="1">
      <c r="A11" s="259" t="s">
        <v>253</v>
      </c>
      <c r="B11" s="259"/>
      <c r="C11" s="259"/>
      <c r="D11" s="259"/>
      <c r="E11" s="259"/>
      <c r="J11" s="202"/>
    </row>
    <row r="12" spans="1:10" ht="21.75" customHeight="1">
      <c r="A12" s="259" t="s">
        <v>255</v>
      </c>
      <c r="B12" s="259"/>
      <c r="C12" s="259"/>
      <c r="D12" s="259"/>
      <c r="E12" s="259"/>
    </row>
    <row r="13" spans="1:10" s="55" customFormat="1" ht="21" customHeight="1" thickBot="1">
      <c r="A13" s="44"/>
      <c r="B13" s="44"/>
      <c r="C13" s="44"/>
      <c r="D13" s="44"/>
      <c r="E13" s="34"/>
      <c r="J13" s="200"/>
    </row>
    <row r="14" spans="1:10" ht="18" customHeight="1">
      <c r="A14" s="243" t="s">
        <v>1</v>
      </c>
      <c r="B14" s="255" t="s">
        <v>11</v>
      </c>
      <c r="C14" s="245" t="s">
        <v>80</v>
      </c>
      <c r="D14" s="245" t="s">
        <v>81</v>
      </c>
      <c r="E14" s="257" t="s">
        <v>96</v>
      </c>
    </row>
    <row r="15" spans="1:10" ht="39.950000000000003" customHeight="1">
      <c r="A15" s="244"/>
      <c r="B15" s="256"/>
      <c r="C15" s="246"/>
      <c r="D15" s="252"/>
      <c r="E15" s="258"/>
    </row>
    <row r="16" spans="1:10" ht="18.75" customHeight="1">
      <c r="A16" s="244"/>
      <c r="B16" s="256"/>
      <c r="C16" s="56" t="s">
        <v>95</v>
      </c>
      <c r="D16" s="57" t="s">
        <v>95</v>
      </c>
      <c r="E16" s="101" t="s">
        <v>95</v>
      </c>
    </row>
    <row r="17" spans="1:10" ht="21" customHeight="1">
      <c r="A17" s="130">
        <v>1</v>
      </c>
      <c r="B17" s="58">
        <v>2</v>
      </c>
      <c r="C17" s="58">
        <v>3</v>
      </c>
      <c r="D17" s="58">
        <v>4</v>
      </c>
      <c r="E17" s="102">
        <v>5</v>
      </c>
    </row>
    <row r="18" spans="1:10" ht="24.95" customHeight="1">
      <c r="A18" s="247" t="s">
        <v>2</v>
      </c>
      <c r="B18" s="248"/>
      <c r="C18" s="248"/>
      <c r="D18" s="248"/>
      <c r="E18" s="249"/>
    </row>
    <row r="19" spans="1:10" ht="49.5" customHeight="1">
      <c r="A19" s="234" t="s">
        <v>15</v>
      </c>
      <c r="B19" s="235"/>
      <c r="C19" s="235"/>
      <c r="D19" s="235"/>
      <c r="E19" s="236"/>
      <c r="F19" s="59"/>
      <c r="G19" s="59"/>
      <c r="H19" s="59"/>
    </row>
    <row r="20" spans="1:10" ht="17.100000000000001" customHeight="1">
      <c r="A20" s="140" t="s">
        <v>23</v>
      </c>
      <c r="B20" s="141" t="s">
        <v>8</v>
      </c>
      <c r="C20" s="142"/>
      <c r="D20" s="142"/>
      <c r="E20" s="143"/>
    </row>
    <row r="21" spans="1:10" ht="17.100000000000001" customHeight="1">
      <c r="A21" s="131" t="s">
        <v>62</v>
      </c>
      <c r="B21" s="60" t="s">
        <v>8</v>
      </c>
      <c r="C21" s="61">
        <f>'Cap. 1'!C18</f>
        <v>0</v>
      </c>
      <c r="D21" s="61">
        <f>C21*Date!$C$14</f>
        <v>0</v>
      </c>
      <c r="E21" s="103">
        <f>C21+D21</f>
        <v>0</v>
      </c>
    </row>
    <row r="22" spans="1:10" s="55" customFormat="1" ht="17.100000000000001" customHeight="1">
      <c r="A22" s="132"/>
      <c r="B22" s="62" t="s">
        <v>61</v>
      </c>
      <c r="C22" s="63">
        <f>'Cap. 1'!C20</f>
        <v>0</v>
      </c>
      <c r="D22" s="63">
        <f>C22*Date!$C$14</f>
        <v>0</v>
      </c>
      <c r="E22" s="104">
        <f>C22+D22</f>
        <v>0</v>
      </c>
      <c r="G22" s="200"/>
      <c r="J22" s="200"/>
    </row>
    <row r="23" spans="1:10" ht="17.100000000000001" customHeight="1">
      <c r="A23" s="140" t="s">
        <v>24</v>
      </c>
      <c r="B23" s="141" t="s">
        <v>68</v>
      </c>
      <c r="C23" s="142"/>
      <c r="D23" s="144"/>
      <c r="E23" s="143"/>
    </row>
    <row r="24" spans="1:10" ht="17.100000000000001" customHeight="1">
      <c r="A24" s="131" t="s">
        <v>6</v>
      </c>
      <c r="B24" s="60" t="s">
        <v>68</v>
      </c>
      <c r="C24" s="61">
        <f>'Cap. 1'!C22</f>
        <v>874000</v>
      </c>
      <c r="D24" s="61">
        <f>C24*Date!$C$14</f>
        <v>166060</v>
      </c>
      <c r="E24" s="103">
        <f>C24+D24</f>
        <v>1040060</v>
      </c>
    </row>
    <row r="25" spans="1:10" s="55" customFormat="1" ht="17.100000000000001" customHeight="1">
      <c r="A25" s="132"/>
      <c r="B25" s="64" t="s">
        <v>48</v>
      </c>
      <c r="C25" s="63">
        <f>'Cap. 1'!C24</f>
        <v>874000</v>
      </c>
      <c r="D25" s="63">
        <f>C25*Date!$C$14</f>
        <v>166060</v>
      </c>
      <c r="E25" s="104">
        <f>C25+D25</f>
        <v>1040060</v>
      </c>
      <c r="J25" s="200"/>
    </row>
    <row r="26" spans="1:10" ht="17.100000000000001" customHeight="1">
      <c r="A26" s="140" t="s">
        <v>25</v>
      </c>
      <c r="B26" s="145" t="s">
        <v>97</v>
      </c>
      <c r="C26" s="142"/>
      <c r="D26" s="144"/>
      <c r="E26" s="143"/>
    </row>
    <row r="27" spans="1:10" ht="17.100000000000001" customHeight="1">
      <c r="A27" s="131" t="s">
        <v>64</v>
      </c>
      <c r="B27" s="60" t="s">
        <v>97</v>
      </c>
      <c r="C27" s="61">
        <f>'Cap. 1'!C26</f>
        <v>93192</v>
      </c>
      <c r="D27" s="61">
        <f>C27*Date!$C$14</f>
        <v>17706.48</v>
      </c>
      <c r="E27" s="103">
        <f>C27+D27</f>
        <v>110898.48</v>
      </c>
    </row>
    <row r="28" spans="1:10" s="55" customFormat="1" ht="17.100000000000001" customHeight="1">
      <c r="A28" s="132"/>
      <c r="B28" s="64" t="s">
        <v>65</v>
      </c>
      <c r="C28" s="63">
        <f>'Cap. 1'!C28</f>
        <v>93192</v>
      </c>
      <c r="D28" s="63">
        <f>C28*Date!$C$14</f>
        <v>17706.48</v>
      </c>
      <c r="E28" s="104">
        <f>C28+D28</f>
        <v>110898.48</v>
      </c>
      <c r="J28" s="200"/>
    </row>
    <row r="29" spans="1:10" ht="17.100000000000001" customHeight="1">
      <c r="A29" s="140" t="s">
        <v>199</v>
      </c>
      <c r="B29" s="145" t="s">
        <v>100</v>
      </c>
      <c r="C29" s="142"/>
      <c r="D29" s="144"/>
      <c r="E29" s="143"/>
    </row>
    <row r="30" spans="1:10" ht="17.100000000000001" customHeight="1">
      <c r="A30" s="131" t="s">
        <v>98</v>
      </c>
      <c r="B30" s="60" t="s">
        <v>100</v>
      </c>
      <c r="C30" s="191">
        <f>'Cap. 1'!C30</f>
        <v>95200</v>
      </c>
      <c r="D30" s="61">
        <f>C30*Date!$C$14</f>
        <v>18088</v>
      </c>
      <c r="E30" s="103">
        <f>C30+D30</f>
        <v>113288</v>
      </c>
    </row>
    <row r="31" spans="1:10" s="55" customFormat="1" ht="17.100000000000001" customHeight="1">
      <c r="A31" s="132"/>
      <c r="B31" s="64" t="s">
        <v>99</v>
      </c>
      <c r="C31" s="63">
        <f>'Cap. 1'!C32</f>
        <v>95200</v>
      </c>
      <c r="D31" s="63">
        <f>C31*Date!$C$14</f>
        <v>18088</v>
      </c>
      <c r="E31" s="104">
        <f>C31+D31</f>
        <v>113288</v>
      </c>
      <c r="J31" s="200"/>
    </row>
    <row r="32" spans="1:10" s="55" customFormat="1" ht="17.100000000000001" customHeight="1">
      <c r="A32" s="132"/>
      <c r="B32" s="65" t="s">
        <v>66</v>
      </c>
      <c r="C32" s="63">
        <f>C22+C25+C28+C31</f>
        <v>1062392</v>
      </c>
      <c r="D32" s="63">
        <f>C32*Date!$C$14</f>
        <v>201854.48</v>
      </c>
      <c r="E32" s="104">
        <f>C32+D32</f>
        <v>1264246.48</v>
      </c>
      <c r="G32" s="200"/>
      <c r="J32" s="200"/>
    </row>
    <row r="33" spans="1:10" ht="39.75" customHeight="1">
      <c r="A33" s="234" t="s">
        <v>60</v>
      </c>
      <c r="B33" s="235"/>
      <c r="C33" s="235"/>
      <c r="D33" s="235"/>
      <c r="E33" s="236"/>
      <c r="F33" s="59"/>
      <c r="G33" s="59"/>
      <c r="H33" s="59"/>
    </row>
    <row r="34" spans="1:10" ht="17.100000000000001" customHeight="1">
      <c r="A34" s="131" t="s">
        <v>26</v>
      </c>
      <c r="B34" s="60"/>
      <c r="C34" s="61">
        <v>0</v>
      </c>
      <c r="D34" s="61">
        <f>C34*Date!$C$14</f>
        <v>0</v>
      </c>
      <c r="E34" s="103">
        <f>C34+D34</f>
        <v>0</v>
      </c>
    </row>
    <row r="35" spans="1:10" ht="17.100000000000001" customHeight="1">
      <c r="A35" s="131" t="s">
        <v>39</v>
      </c>
      <c r="B35" s="60"/>
      <c r="C35" s="61">
        <v>0</v>
      </c>
      <c r="D35" s="61">
        <f>C35*Date!$C$14</f>
        <v>0</v>
      </c>
      <c r="E35" s="103">
        <f>C35+D35</f>
        <v>0</v>
      </c>
    </row>
    <row r="36" spans="1:10" s="55" customFormat="1" ht="17.100000000000001" customHeight="1">
      <c r="A36" s="132"/>
      <c r="B36" s="65" t="s">
        <v>67</v>
      </c>
      <c r="C36" s="63">
        <f>SUM(C34:C35)</f>
        <v>0</v>
      </c>
      <c r="D36" s="63">
        <f>C36*Date!$C$14</f>
        <v>0</v>
      </c>
      <c r="E36" s="104">
        <f>C36+D36</f>
        <v>0</v>
      </c>
      <c r="G36" s="200">
        <f>C36/4.5744</f>
        <v>0</v>
      </c>
      <c r="J36" s="200">
        <f>E36/4.5744</f>
        <v>0</v>
      </c>
    </row>
    <row r="37" spans="1:10" ht="37.5" customHeight="1">
      <c r="A37" s="234" t="s">
        <v>14</v>
      </c>
      <c r="B37" s="235"/>
      <c r="C37" s="235"/>
      <c r="D37" s="235"/>
      <c r="E37" s="236"/>
      <c r="F37" s="59"/>
      <c r="G37" s="59"/>
      <c r="H37" s="59"/>
    </row>
    <row r="38" spans="1:10" ht="17.100000000000001" customHeight="1">
      <c r="A38" s="146" t="s">
        <v>27</v>
      </c>
      <c r="B38" s="147" t="s">
        <v>101</v>
      </c>
      <c r="C38" s="142"/>
      <c r="D38" s="142"/>
      <c r="E38" s="143"/>
    </row>
    <row r="39" spans="1:10" ht="17.100000000000001" customHeight="1">
      <c r="A39" s="133" t="s">
        <v>72</v>
      </c>
      <c r="B39" s="60" t="s">
        <v>102</v>
      </c>
      <c r="C39" s="66"/>
      <c r="D39" s="61"/>
      <c r="E39" s="103"/>
    </row>
    <row r="40" spans="1:10" ht="17.100000000000001" customHeight="1">
      <c r="A40" s="133" t="s">
        <v>265</v>
      </c>
      <c r="B40" s="60" t="s">
        <v>266</v>
      </c>
      <c r="C40" s="61">
        <v>10000</v>
      </c>
      <c r="D40" s="61">
        <f>C40*[2]Date!$C$14</f>
        <v>1900</v>
      </c>
      <c r="E40" s="103">
        <f>C40+D40</f>
        <v>11900</v>
      </c>
    </row>
    <row r="41" spans="1:10" ht="17.100000000000001" customHeight="1">
      <c r="A41" s="133" t="s">
        <v>267</v>
      </c>
      <c r="B41" s="60" t="s">
        <v>268</v>
      </c>
      <c r="C41" s="61">
        <v>50000</v>
      </c>
      <c r="D41" s="61">
        <f>C41*[2]Date!$C$14</f>
        <v>9500</v>
      </c>
      <c r="E41" s="103">
        <f>C41+D41</f>
        <v>59500</v>
      </c>
    </row>
    <row r="42" spans="1:10" s="55" customFormat="1" ht="17.100000000000001" customHeight="1">
      <c r="A42" s="132"/>
      <c r="B42" s="64" t="s">
        <v>70</v>
      </c>
      <c r="C42" s="63">
        <f>SUM(C40:C41)</f>
        <v>60000</v>
      </c>
      <c r="D42" s="63">
        <f>C42*Date!$C$14</f>
        <v>11400</v>
      </c>
      <c r="E42" s="104">
        <f>C42+D42</f>
        <v>71400</v>
      </c>
      <c r="J42" s="200"/>
    </row>
    <row r="43" spans="1:10">
      <c r="A43" s="146" t="s">
        <v>28</v>
      </c>
      <c r="B43" s="148" t="s">
        <v>103</v>
      </c>
      <c r="C43" s="149"/>
      <c r="D43" s="144"/>
      <c r="E43" s="150"/>
      <c r="F43" s="69"/>
      <c r="G43" s="69"/>
      <c r="H43" s="69"/>
      <c r="I43" s="69"/>
    </row>
    <row r="44" spans="1:10" ht="17.100000000000001" customHeight="1">
      <c r="A44" s="133" t="s">
        <v>104</v>
      </c>
      <c r="B44" s="70" t="s">
        <v>103</v>
      </c>
      <c r="C44" s="68">
        <v>75000</v>
      </c>
      <c r="D44" s="61">
        <f>C44*Date!$C$14</f>
        <v>14250</v>
      </c>
      <c r="E44" s="105">
        <f>C44+D44</f>
        <v>89250</v>
      </c>
    </row>
    <row r="45" spans="1:10" s="55" customFormat="1" ht="17.100000000000001" customHeight="1">
      <c r="A45" s="132"/>
      <c r="B45" s="64" t="s">
        <v>105</v>
      </c>
      <c r="C45" s="63">
        <f>SUM(C44:C44)</f>
        <v>75000</v>
      </c>
      <c r="D45" s="63">
        <f>C45*Date!$C$14</f>
        <v>14250</v>
      </c>
      <c r="E45" s="104">
        <f>C45+D45</f>
        <v>89250</v>
      </c>
      <c r="G45" s="55">
        <f>C42+C48+C55+C56</f>
        <v>187850</v>
      </c>
      <c r="J45" s="200"/>
    </row>
    <row r="46" spans="1:10" ht="17.100000000000001" customHeight="1">
      <c r="A46" s="146" t="s">
        <v>29</v>
      </c>
      <c r="B46" s="151" t="s">
        <v>108</v>
      </c>
      <c r="C46" s="152"/>
      <c r="D46" s="152"/>
      <c r="E46" s="153"/>
    </row>
    <row r="47" spans="1:10" ht="17.100000000000001" customHeight="1">
      <c r="A47" s="133" t="s">
        <v>46</v>
      </c>
      <c r="B47" s="70" t="s">
        <v>108</v>
      </c>
      <c r="C47" s="66">
        <v>5000</v>
      </c>
      <c r="D47" s="61">
        <f>C47*Date!$C$14</f>
        <v>950</v>
      </c>
      <c r="E47" s="103">
        <f>C47+D47</f>
        <v>5950</v>
      </c>
    </row>
    <row r="48" spans="1:10" s="55" customFormat="1" ht="17.100000000000001" customHeight="1">
      <c r="A48" s="132"/>
      <c r="B48" s="64" t="s">
        <v>47</v>
      </c>
      <c r="C48" s="63">
        <f>SUM(C47:C47)</f>
        <v>5000</v>
      </c>
      <c r="D48" s="63">
        <f>C48*Date!$C$14</f>
        <v>950</v>
      </c>
      <c r="E48" s="104">
        <f>C48+D48</f>
        <v>5950</v>
      </c>
      <c r="J48" s="200"/>
    </row>
    <row r="49" spans="1:10" ht="17.100000000000001" customHeight="1">
      <c r="A49" s="146" t="s">
        <v>200</v>
      </c>
      <c r="B49" s="151" t="s">
        <v>109</v>
      </c>
      <c r="C49" s="152"/>
      <c r="D49" s="152"/>
      <c r="E49" s="153"/>
    </row>
    <row r="50" spans="1:10" ht="17.100000000000001" customHeight="1">
      <c r="A50" s="133" t="s">
        <v>106</v>
      </c>
      <c r="B50" s="70" t="s">
        <v>109</v>
      </c>
      <c r="C50" s="66">
        <v>0</v>
      </c>
      <c r="D50" s="61">
        <f>C50*Date!$C$14</f>
        <v>0</v>
      </c>
      <c r="E50" s="103">
        <f>C50+D50</f>
        <v>0</v>
      </c>
    </row>
    <row r="51" spans="1:10" s="55" customFormat="1" ht="17.100000000000001" customHeight="1">
      <c r="A51" s="132"/>
      <c r="B51" s="64" t="s">
        <v>107</v>
      </c>
      <c r="C51" s="63">
        <f>SUM(C50:C50)</f>
        <v>0</v>
      </c>
      <c r="D51" s="63">
        <f>C51*Date!$C$14</f>
        <v>0</v>
      </c>
      <c r="E51" s="104">
        <f>C51+D51</f>
        <v>0</v>
      </c>
      <c r="J51" s="200"/>
    </row>
    <row r="52" spans="1:10" ht="17.100000000000001" customHeight="1">
      <c r="A52" s="146" t="s">
        <v>201</v>
      </c>
      <c r="B52" s="151" t="s">
        <v>110</v>
      </c>
      <c r="C52" s="152"/>
      <c r="D52" s="152"/>
      <c r="E52" s="153"/>
    </row>
    <row r="53" spans="1:10" ht="17.100000000000001" customHeight="1">
      <c r="A53" s="133" t="s">
        <v>111</v>
      </c>
      <c r="B53" s="70" t="s">
        <v>197</v>
      </c>
      <c r="C53" s="66">
        <v>0</v>
      </c>
      <c r="D53" s="61">
        <f>C53*Date!$C$14</f>
        <v>0</v>
      </c>
      <c r="E53" s="103">
        <f t="shared" ref="E53:E59" si="0">C53+D53</f>
        <v>0</v>
      </c>
    </row>
    <row r="54" spans="1:10" ht="17.100000000000001" customHeight="1">
      <c r="A54" s="133" t="s">
        <v>112</v>
      </c>
      <c r="B54" s="70" t="s">
        <v>115</v>
      </c>
      <c r="C54" s="66">
        <v>0</v>
      </c>
      <c r="D54" s="61">
        <f>C54*Date!$C$14</f>
        <v>0</v>
      </c>
      <c r="E54" s="103">
        <f t="shared" si="0"/>
        <v>0</v>
      </c>
    </row>
    <row r="55" spans="1:10" ht="33.950000000000003" customHeight="1">
      <c r="A55" s="133" t="s">
        <v>113</v>
      </c>
      <c r="B55" s="60" t="s">
        <v>119</v>
      </c>
      <c r="C55" s="66">
        <v>94500</v>
      </c>
      <c r="D55" s="61">
        <f>C55*Date!$C$14</f>
        <v>17955</v>
      </c>
      <c r="E55" s="103">
        <f t="shared" si="0"/>
        <v>112455</v>
      </c>
    </row>
    <row r="56" spans="1:10" ht="33.950000000000003" customHeight="1">
      <c r="A56" s="133" t="s">
        <v>116</v>
      </c>
      <c r="B56" s="60" t="s">
        <v>120</v>
      </c>
      <c r="C56" s="66">
        <f>C55*30%</f>
        <v>28350</v>
      </c>
      <c r="D56" s="61">
        <f>C56*Date!$C$14</f>
        <v>5386.5</v>
      </c>
      <c r="E56" s="103">
        <f t="shared" si="0"/>
        <v>33736.5</v>
      </c>
    </row>
    <row r="57" spans="1:10">
      <c r="A57" s="133" t="s">
        <v>117</v>
      </c>
      <c r="B57" s="60" t="s">
        <v>269</v>
      </c>
      <c r="C57" s="66">
        <v>88577.934749999971</v>
      </c>
      <c r="D57" s="61">
        <f>C57*Date!$C$14</f>
        <v>16829.807602499994</v>
      </c>
      <c r="E57" s="103">
        <f t="shared" si="0"/>
        <v>105407.74235249996</v>
      </c>
    </row>
    <row r="58" spans="1:10" ht="17.100000000000001" customHeight="1">
      <c r="A58" s="133" t="s">
        <v>118</v>
      </c>
      <c r="B58" s="70" t="s">
        <v>270</v>
      </c>
      <c r="C58" s="66">
        <f>3%*C107-C42-C48</f>
        <v>5840195.6499999994</v>
      </c>
      <c r="D58" s="61">
        <f>C58*Date!$C$14</f>
        <v>1109637.1734999998</v>
      </c>
      <c r="E58" s="103">
        <f t="shared" si="0"/>
        <v>6949832.823499999</v>
      </c>
    </row>
    <row r="59" spans="1:10" s="55" customFormat="1" ht="17.100000000000001" customHeight="1">
      <c r="A59" s="132"/>
      <c r="B59" s="64" t="s">
        <v>114</v>
      </c>
      <c r="C59" s="63">
        <f>C53+C54+C55+C56+C57+C58</f>
        <v>6051623.5847499995</v>
      </c>
      <c r="D59" s="63">
        <f>C59*Date!$C$14</f>
        <v>1149808.4811024999</v>
      </c>
      <c r="E59" s="104">
        <f t="shared" si="0"/>
        <v>7201432.0658524996</v>
      </c>
      <c r="J59" s="200"/>
    </row>
    <row r="60" spans="1:10" ht="17.100000000000001" customHeight="1">
      <c r="A60" s="146" t="s">
        <v>198</v>
      </c>
      <c r="B60" s="148" t="s">
        <v>9</v>
      </c>
      <c r="C60" s="154"/>
      <c r="D60" s="144"/>
      <c r="E60" s="150"/>
      <c r="F60" s="69"/>
      <c r="G60" s="69"/>
      <c r="H60" s="69"/>
      <c r="I60" s="69"/>
    </row>
    <row r="61" spans="1:10" ht="17.100000000000001" customHeight="1">
      <c r="A61" s="133" t="s">
        <v>121</v>
      </c>
      <c r="B61" s="70" t="s">
        <v>9</v>
      </c>
      <c r="C61" s="66">
        <v>50000</v>
      </c>
      <c r="D61" s="61">
        <f>C61*Date!$C$14</f>
        <v>9500</v>
      </c>
      <c r="E61" s="103">
        <f>C61+D61</f>
        <v>59500</v>
      </c>
    </row>
    <row r="62" spans="1:10" s="55" customFormat="1" ht="17.100000000000001" customHeight="1">
      <c r="A62" s="132"/>
      <c r="B62" s="64" t="s">
        <v>122</v>
      </c>
      <c r="C62" s="63">
        <f>SUM(C61:C61)</f>
        <v>50000</v>
      </c>
      <c r="D62" s="63">
        <f>C62*Date!$C$14</f>
        <v>9500</v>
      </c>
      <c r="E62" s="104">
        <f>C62+D62</f>
        <v>59500</v>
      </c>
      <c r="J62" s="200"/>
    </row>
    <row r="63" spans="1:10" ht="33" customHeight="1">
      <c r="A63" s="146" t="s">
        <v>202</v>
      </c>
      <c r="B63" s="155" t="s">
        <v>203</v>
      </c>
      <c r="C63" s="144"/>
      <c r="D63" s="144"/>
      <c r="E63" s="156"/>
    </row>
    <row r="64" spans="1:10" ht="17.100000000000001" customHeight="1">
      <c r="A64" s="133" t="s">
        <v>123</v>
      </c>
      <c r="B64" s="70" t="s">
        <v>204</v>
      </c>
      <c r="C64" s="66">
        <f>0.8%*C107</f>
        <v>1574718.84</v>
      </c>
      <c r="D64" s="61">
        <f>C64*Date!$C$14</f>
        <v>299196.5796</v>
      </c>
      <c r="E64" s="103">
        <f>C64+D64</f>
        <v>1873915.4196000001</v>
      </c>
    </row>
    <row r="65" spans="1:10" ht="17.100000000000001" customHeight="1">
      <c r="A65" s="133" t="s">
        <v>206</v>
      </c>
      <c r="B65" s="70" t="s">
        <v>205</v>
      </c>
      <c r="C65" s="66">
        <f>0.2%*C107</f>
        <v>393679.71</v>
      </c>
      <c r="D65" s="61">
        <f>C65*Date!$C$14</f>
        <v>74799.144899999999</v>
      </c>
      <c r="E65" s="103">
        <f>C65+D65</f>
        <v>468478.85490000003</v>
      </c>
    </row>
    <row r="66" spans="1:10" s="55" customFormat="1" ht="17.100000000000001" customHeight="1">
      <c r="A66" s="132"/>
      <c r="B66" s="64" t="s">
        <v>124</v>
      </c>
      <c r="C66" s="63">
        <f>SUM(C64:C65)</f>
        <v>1968398.55</v>
      </c>
      <c r="D66" s="63">
        <f>C66*Date!$C$14</f>
        <v>373995.72450000001</v>
      </c>
      <c r="E66" s="104">
        <f>C66+D66</f>
        <v>2342394.2745000003</v>
      </c>
      <c r="J66" s="200"/>
    </row>
    <row r="67" spans="1:10" ht="17.100000000000001" customHeight="1">
      <c r="A67" s="146" t="s">
        <v>207</v>
      </c>
      <c r="B67" s="157" t="s">
        <v>125</v>
      </c>
      <c r="C67" s="144"/>
      <c r="D67" s="144"/>
      <c r="E67" s="156"/>
    </row>
    <row r="68" spans="1:10" ht="17.100000000000001" customHeight="1">
      <c r="A68" s="133" t="s">
        <v>126</v>
      </c>
      <c r="B68" s="70" t="s">
        <v>261</v>
      </c>
      <c r="C68" s="66"/>
      <c r="D68" s="61"/>
      <c r="E68" s="103"/>
    </row>
    <row r="69" spans="1:10" ht="17.100000000000001" customHeight="1">
      <c r="A69" s="133" t="s">
        <v>127</v>
      </c>
      <c r="B69" s="70" t="s">
        <v>262</v>
      </c>
      <c r="C69" s="66">
        <f>0.5%*C107</f>
        <v>984199.27500000002</v>
      </c>
      <c r="D69" s="61">
        <f>C69*Date!$C$14</f>
        <v>186997.86225000001</v>
      </c>
      <c r="E69" s="103">
        <f t="shared" ref="E69:E75" si="1">C69+D69</f>
        <v>1171197.1372500001</v>
      </c>
    </row>
    <row r="70" spans="1:10" ht="46.5" customHeight="1">
      <c r="A70" s="133" t="s">
        <v>128</v>
      </c>
      <c r="B70" s="60" t="s">
        <v>208</v>
      </c>
      <c r="C70" s="66">
        <f>0.5%*C107</f>
        <v>984199.27500000002</v>
      </c>
      <c r="D70" s="61">
        <f>C70*Date!$C$14</f>
        <v>186997.86225000001</v>
      </c>
      <c r="E70" s="103">
        <f t="shared" si="1"/>
        <v>1171197.1372500001</v>
      </c>
    </row>
    <row r="71" spans="1:10" s="55" customFormat="1" ht="17.100000000000001" customHeight="1">
      <c r="A71" s="132"/>
      <c r="B71" s="64" t="s">
        <v>129</v>
      </c>
      <c r="C71" s="63">
        <f>SUM(C69:C70)</f>
        <v>1968398.55</v>
      </c>
      <c r="D71" s="63">
        <f>C71*Date!$C$14</f>
        <v>373995.72450000001</v>
      </c>
      <c r="E71" s="104">
        <f t="shared" si="1"/>
        <v>2342394.2745000003</v>
      </c>
      <c r="J71" s="200"/>
    </row>
    <row r="72" spans="1:10" ht="17.100000000000001" customHeight="1">
      <c r="A72" s="133" t="s">
        <v>130</v>
      </c>
      <c r="B72" s="60" t="s">
        <v>209</v>
      </c>
      <c r="C72" s="66">
        <f>1%*C107</f>
        <v>1968398.55</v>
      </c>
      <c r="D72" s="61">
        <f>C72*Date!$C$14</f>
        <v>373995.72450000001</v>
      </c>
      <c r="E72" s="103">
        <f t="shared" si="1"/>
        <v>2342394.2745000003</v>
      </c>
    </row>
    <row r="73" spans="1:10" s="55" customFormat="1" ht="17.100000000000001" customHeight="1">
      <c r="A73" s="132"/>
      <c r="B73" s="64" t="s">
        <v>215</v>
      </c>
      <c r="C73" s="63">
        <f>SUM(C72)</f>
        <v>1968398.55</v>
      </c>
      <c r="D73" s="63">
        <f>C73*Date!$C$14</f>
        <v>373995.72450000001</v>
      </c>
      <c r="E73" s="104">
        <f t="shared" ref="E73" si="2">C73+D73</f>
        <v>2342394.2745000003</v>
      </c>
      <c r="J73" s="200"/>
    </row>
    <row r="74" spans="1:10" s="55" customFormat="1" ht="17.100000000000001" customHeight="1">
      <c r="A74" s="132"/>
      <c r="B74" s="64" t="s">
        <v>131</v>
      </c>
      <c r="C74" s="63">
        <f>C71+C73</f>
        <v>3936797.1</v>
      </c>
      <c r="D74" s="63">
        <f>C74*Date!$C$14</f>
        <v>747991.44900000002</v>
      </c>
      <c r="E74" s="104">
        <f t="shared" si="1"/>
        <v>4684788.5490000006</v>
      </c>
      <c r="J74" s="200"/>
    </row>
    <row r="75" spans="1:10" s="55" customFormat="1" ht="17.100000000000001" customHeight="1">
      <c r="A75" s="132"/>
      <c r="B75" s="65" t="s">
        <v>69</v>
      </c>
      <c r="C75" s="63">
        <f>C42+C45+C48+C51+C59+C62+C66+C74</f>
        <v>12146819.234749999</v>
      </c>
      <c r="D75" s="63">
        <f>C75*Date!$C$14</f>
        <v>2307895.6546024997</v>
      </c>
      <c r="E75" s="104">
        <f t="shared" si="1"/>
        <v>14454714.889352499</v>
      </c>
      <c r="G75" s="200"/>
      <c r="J75" s="200"/>
    </row>
    <row r="76" spans="1:10" ht="30.75" customHeight="1">
      <c r="A76" s="234" t="s">
        <v>13</v>
      </c>
      <c r="B76" s="235"/>
      <c r="C76" s="235"/>
      <c r="D76" s="235"/>
      <c r="E76" s="236"/>
      <c r="F76" s="59"/>
      <c r="G76" s="59"/>
      <c r="H76" s="59"/>
    </row>
    <row r="77" spans="1:10" ht="17.100000000000001" customHeight="1">
      <c r="A77" s="146" t="s">
        <v>30</v>
      </c>
      <c r="B77" s="147" t="s">
        <v>210</v>
      </c>
      <c r="C77" s="142"/>
      <c r="D77" s="142"/>
      <c r="E77" s="143"/>
    </row>
    <row r="78" spans="1:10" ht="17.100000000000001" customHeight="1">
      <c r="A78" s="133" t="s">
        <v>7</v>
      </c>
      <c r="B78" s="71" t="str">
        <f>IF(Date!D4&lt;&gt;0,Date!D4,"")</f>
        <v>Infrastructură CF</v>
      </c>
      <c r="C78" s="61">
        <f>'Cap. 4'!C18</f>
        <v>18965800</v>
      </c>
      <c r="D78" s="61">
        <f>C78*Date!$C$14</f>
        <v>3603502</v>
      </c>
      <c r="E78" s="103">
        <f t="shared" ref="E78:E87" si="3">C78+D78</f>
        <v>22569302</v>
      </c>
      <c r="F78" s="190"/>
    </row>
    <row r="79" spans="1:10" ht="17.100000000000001" customHeight="1">
      <c r="A79" s="133" t="s">
        <v>147</v>
      </c>
      <c r="B79" s="71" t="str">
        <f>IF(Date!D5&lt;&gt;0,Date!D5,"")</f>
        <v>Suprastructura CF</v>
      </c>
      <c r="C79" s="66">
        <f>'Cap. 4'!C19</f>
        <v>75820800</v>
      </c>
      <c r="D79" s="61">
        <f>C79*Date!$C$14</f>
        <v>14405952</v>
      </c>
      <c r="E79" s="103">
        <f t="shared" si="3"/>
        <v>90226752</v>
      </c>
      <c r="F79" s="190"/>
    </row>
    <row r="80" spans="1:10" ht="17.100000000000001" customHeight="1">
      <c r="A80" s="133" t="s">
        <v>85</v>
      </c>
      <c r="B80" s="71" t="str">
        <f>IF(Date!D6&lt;&gt;0,Date!D6,"")</f>
        <v>Instalații CE</v>
      </c>
      <c r="C80" s="61">
        <f>'Cap. 4'!C20</f>
        <v>20190455</v>
      </c>
      <c r="D80" s="61">
        <f>C80*Date!$C$14</f>
        <v>3836186.45</v>
      </c>
      <c r="E80" s="103">
        <f>C80+D80</f>
        <v>24026641.449999999</v>
      </c>
      <c r="F80" s="190"/>
    </row>
    <row r="81" spans="1:10" ht="17.100000000000001" customHeight="1">
      <c r="A81" s="133" t="s">
        <v>132</v>
      </c>
      <c r="B81" s="71" t="str">
        <f>IF(Date!D7&lt;&gt;0,Date!D7,"")</f>
        <v>Telecomunicații</v>
      </c>
      <c r="C81" s="61">
        <f>'Cap. 4'!C21</f>
        <v>1959600</v>
      </c>
      <c r="D81" s="61">
        <f>C81*Date!$C$14</f>
        <v>372324</v>
      </c>
      <c r="E81" s="103">
        <f>C81+D81</f>
        <v>2331924</v>
      </c>
      <c r="F81" s="190"/>
    </row>
    <row r="82" spans="1:10" ht="17.100000000000001" customHeight="1">
      <c r="A82" s="133" t="s">
        <v>90</v>
      </c>
      <c r="B82" s="71" t="str">
        <f>IF(Date!D8&lt;&gt;0,Date!D8,"")</f>
        <v>Lucrări de electrificare - linie de contact</v>
      </c>
      <c r="C82" s="61">
        <f>'Cap. 4'!C22</f>
        <v>14095400</v>
      </c>
      <c r="D82" s="61">
        <f>C82*Date!$C$14</f>
        <v>2678126</v>
      </c>
      <c r="E82" s="103">
        <f>C82+D82</f>
        <v>16773526</v>
      </c>
      <c r="F82" s="190"/>
    </row>
    <row r="83" spans="1:10" ht="17.100000000000001" customHeight="1">
      <c r="A83" s="133" t="s">
        <v>211</v>
      </c>
      <c r="B83" s="71" t="str">
        <f>IF(Date!D9&lt;&gt;0,Date!D9,"")</f>
        <v>Lucrări de electrificare - protecția instalațiilor din cale</v>
      </c>
      <c r="C83" s="61">
        <f>'Cap. 4'!C23</f>
        <v>2030375</v>
      </c>
      <c r="D83" s="61">
        <f>C83*Date!$C$14</f>
        <v>385771.25</v>
      </c>
      <c r="E83" s="103">
        <f t="shared" ref="E83:E85" si="4">C83+D83</f>
        <v>2416146.25</v>
      </c>
      <c r="F83" s="190"/>
    </row>
    <row r="84" spans="1:10" ht="17.100000000000001" customHeight="1">
      <c r="A84" s="133" t="s">
        <v>218</v>
      </c>
      <c r="B84" s="71" t="str">
        <f>IF(Date!D10&lt;&gt;0,Date!D10,"")</f>
        <v>Lucrări de electrificare - energoalimentare</v>
      </c>
      <c r="C84" s="61">
        <f>'Cap. 4'!C24</f>
        <v>8512095</v>
      </c>
      <c r="D84" s="61">
        <f>C84*Date!$C$14</f>
        <v>1617298.05</v>
      </c>
      <c r="E84" s="103">
        <f t="shared" si="4"/>
        <v>10129393.050000001</v>
      </c>
      <c r="F84" s="190"/>
    </row>
    <row r="85" spans="1:10" ht="17.100000000000001" customHeight="1">
      <c r="A85" s="133" t="s">
        <v>251</v>
      </c>
      <c r="B85" s="71" t="str">
        <f>IF(Date!D11&lt;&gt;0,Date!D11,"")</f>
        <v>Lucrări de civile - Construcții civile</v>
      </c>
      <c r="C85" s="61">
        <f>'Cap. 4'!C25</f>
        <v>18515686</v>
      </c>
      <c r="D85" s="61">
        <f>C85*Date!$C$14</f>
        <v>3517980.34</v>
      </c>
      <c r="E85" s="103">
        <f t="shared" si="4"/>
        <v>22033666.34</v>
      </c>
      <c r="F85" s="190"/>
    </row>
    <row r="86" spans="1:10" ht="17.100000000000001" customHeight="1">
      <c r="A86" s="133" t="s">
        <v>252</v>
      </c>
      <c r="B86" s="71" t="str">
        <f>IF(Date!D12&lt;&gt;0,Date!D12,"")</f>
        <v>Lucrări de civile - Instalatii electrice</v>
      </c>
      <c r="C86" s="61">
        <f>'Cap. 4'!C26</f>
        <v>761124</v>
      </c>
      <c r="D86" s="61">
        <f>C86*Date!$C$14</f>
        <v>144613.56</v>
      </c>
      <c r="E86" s="103">
        <f t="shared" si="3"/>
        <v>905737.56</v>
      </c>
      <c r="F86" s="190"/>
    </row>
    <row r="87" spans="1:10" s="55" customFormat="1" ht="17.100000000000001" customHeight="1">
      <c r="A87" s="132"/>
      <c r="B87" s="64" t="s">
        <v>49</v>
      </c>
      <c r="C87" s="63">
        <f>SUM(C78:C86)</f>
        <v>160851335</v>
      </c>
      <c r="D87" s="63">
        <f>C87*Date!$C$14</f>
        <v>30561753.649999999</v>
      </c>
      <c r="E87" s="104">
        <f t="shared" si="3"/>
        <v>191413088.65000001</v>
      </c>
      <c r="F87" s="190"/>
      <c r="G87" s="53"/>
      <c r="J87" s="200"/>
    </row>
    <row r="88" spans="1:10" ht="17.100000000000001" customHeight="1">
      <c r="A88" s="146" t="s">
        <v>31</v>
      </c>
      <c r="B88" s="147" t="s">
        <v>133</v>
      </c>
      <c r="C88" s="142"/>
      <c r="D88" s="142"/>
      <c r="E88" s="143"/>
    </row>
    <row r="89" spans="1:10" ht="17.100000000000001" customHeight="1">
      <c r="A89" s="133" t="s">
        <v>40</v>
      </c>
      <c r="B89" s="60" t="s">
        <v>257</v>
      </c>
      <c r="C89" s="61">
        <f>'Cap. 4'!C29</f>
        <v>1485735</v>
      </c>
      <c r="D89" s="61">
        <f>C89*Date!$C$14</f>
        <v>282289.65000000002</v>
      </c>
      <c r="E89" s="103">
        <f>C89+D89</f>
        <v>1768024.65</v>
      </c>
      <c r="F89" s="190"/>
    </row>
    <row r="90" spans="1:10" ht="17.100000000000001" customHeight="1">
      <c r="A90" s="133" t="s">
        <v>73</v>
      </c>
      <c r="B90" s="60" t="s">
        <v>214</v>
      </c>
      <c r="C90" s="61">
        <f>'Cap. 4'!C30</f>
        <v>253920</v>
      </c>
      <c r="D90" s="61">
        <f>C90*Date!$C$14</f>
        <v>48244.800000000003</v>
      </c>
      <c r="E90" s="103">
        <f>C90+D90</f>
        <v>302164.8</v>
      </c>
      <c r="F90" s="190"/>
    </row>
    <row r="91" spans="1:10" ht="17.100000000000001" customHeight="1">
      <c r="A91" s="133" t="s">
        <v>224</v>
      </c>
      <c r="B91" s="60" t="s">
        <v>148</v>
      </c>
      <c r="C91" s="61">
        <f>'Cap. 4'!C31</f>
        <v>5674730</v>
      </c>
      <c r="D91" s="61">
        <f>C91*Date!$C$14</f>
        <v>1078198.7</v>
      </c>
      <c r="E91" s="103">
        <f>C91+D91</f>
        <v>6752928.7000000002</v>
      </c>
      <c r="F91" s="190"/>
    </row>
    <row r="92" spans="1:10" s="55" customFormat="1" ht="17.100000000000001" customHeight="1">
      <c r="A92" s="132"/>
      <c r="B92" s="64" t="s">
        <v>50</v>
      </c>
      <c r="C92" s="63">
        <f>SUM(C89:C91)</f>
        <v>7414385</v>
      </c>
      <c r="D92" s="63">
        <f>C92*Date!$C$14</f>
        <v>1408733.15</v>
      </c>
      <c r="E92" s="104">
        <f>C92+D92</f>
        <v>8823118.1500000004</v>
      </c>
      <c r="J92" s="200"/>
    </row>
    <row r="93" spans="1:10" ht="17.100000000000001" customHeight="1">
      <c r="A93" s="146" t="s">
        <v>32</v>
      </c>
      <c r="B93" s="158" t="s">
        <v>134</v>
      </c>
      <c r="C93" s="145"/>
      <c r="D93" s="145"/>
      <c r="E93" s="159"/>
      <c r="F93" s="69"/>
      <c r="G93" s="69"/>
      <c r="H93" s="69"/>
      <c r="I93" s="69"/>
    </row>
    <row r="94" spans="1:10" ht="17.100000000000001" customHeight="1">
      <c r="A94" s="133" t="s">
        <v>87</v>
      </c>
      <c r="B94" s="60" t="s">
        <v>257</v>
      </c>
      <c r="C94" s="61">
        <f>'Cap. 4'!C34</f>
        <v>13371630</v>
      </c>
      <c r="D94" s="61">
        <f>C94*Date!$C$14</f>
        <v>2540609.7000000002</v>
      </c>
      <c r="E94" s="103">
        <f>C94+D94</f>
        <v>15912239.699999999</v>
      </c>
    </row>
    <row r="95" spans="1:10" ht="17.100000000000001" customHeight="1">
      <c r="A95" s="133" t="s">
        <v>86</v>
      </c>
      <c r="B95" s="60" t="s">
        <v>214</v>
      </c>
      <c r="C95" s="61">
        <f>'Cap. 4'!C35</f>
        <v>1015680</v>
      </c>
      <c r="D95" s="61">
        <f>C95*Date!$C$14</f>
        <v>192979.20000000001</v>
      </c>
      <c r="E95" s="103">
        <f>C95+D95</f>
        <v>1208659.2</v>
      </c>
    </row>
    <row r="96" spans="1:10" ht="17.100000000000001" customHeight="1">
      <c r="A96" s="133" t="s">
        <v>226</v>
      </c>
      <c r="B96" s="60" t="s">
        <v>148</v>
      </c>
      <c r="C96" s="61">
        <f>'Cap. 4'!C36</f>
        <v>14186825</v>
      </c>
      <c r="D96" s="61">
        <f>C96*Date!$C$14</f>
        <v>2695496.75</v>
      </c>
      <c r="E96" s="103">
        <f>C96+D96</f>
        <v>16882321.75</v>
      </c>
    </row>
    <row r="97" spans="1:10" s="55" customFormat="1" ht="17.100000000000001" customHeight="1">
      <c r="A97" s="132"/>
      <c r="B97" s="64" t="s">
        <v>51</v>
      </c>
      <c r="C97" s="63">
        <f>SUM(C94:C96)</f>
        <v>28574135</v>
      </c>
      <c r="D97" s="63">
        <f>C97*Date!$C$14</f>
        <v>5429085.6500000004</v>
      </c>
      <c r="E97" s="104">
        <f>C97+D97</f>
        <v>34003220.649999999</v>
      </c>
      <c r="G97" s="184"/>
      <c r="H97" s="184"/>
      <c r="J97" s="200"/>
    </row>
    <row r="98" spans="1:10" ht="33.950000000000003" customHeight="1">
      <c r="A98" s="146" t="s">
        <v>33</v>
      </c>
      <c r="B98" s="160" t="s">
        <v>135</v>
      </c>
      <c r="C98" s="161"/>
      <c r="D98" s="161"/>
      <c r="E98" s="162"/>
      <c r="F98" s="69"/>
      <c r="G98" s="185"/>
      <c r="H98" s="185"/>
      <c r="I98" s="69"/>
    </row>
    <row r="99" spans="1:10" ht="17.100000000000001" customHeight="1">
      <c r="A99" s="133" t="s">
        <v>21</v>
      </c>
      <c r="B99" s="60"/>
      <c r="C99" s="61">
        <v>0</v>
      </c>
      <c r="D99" s="61">
        <f>C99*Date!$C$14</f>
        <v>0</v>
      </c>
      <c r="E99" s="103">
        <f>C99+D99</f>
        <v>0</v>
      </c>
      <c r="G99" s="186"/>
      <c r="H99" s="185"/>
    </row>
    <row r="100" spans="1:10" s="55" customFormat="1" ht="17.100000000000001" customHeight="1">
      <c r="A100" s="132"/>
      <c r="B100" s="64" t="s">
        <v>52</v>
      </c>
      <c r="C100" s="63">
        <f>SUM(C99:C99)</f>
        <v>0</v>
      </c>
      <c r="D100" s="63">
        <f>C100*Date!$C$14</f>
        <v>0</v>
      </c>
      <c r="E100" s="104">
        <f>C100+D100</f>
        <v>0</v>
      </c>
      <c r="J100" s="200"/>
    </row>
    <row r="101" spans="1:10" ht="17.100000000000001" customHeight="1">
      <c r="A101" s="146" t="s">
        <v>41</v>
      </c>
      <c r="B101" s="147" t="s">
        <v>20</v>
      </c>
      <c r="C101" s="142"/>
      <c r="D101" s="142"/>
      <c r="E101" s="143"/>
    </row>
    <row r="102" spans="1:10" ht="17.100000000000001" customHeight="1">
      <c r="A102" s="133" t="s">
        <v>22</v>
      </c>
      <c r="B102" s="60" t="s">
        <v>148</v>
      </c>
      <c r="C102" s="61">
        <f>'Cap. 4'!C38</f>
        <v>0</v>
      </c>
      <c r="D102" s="61">
        <f>C102*Date!$C$14</f>
        <v>0</v>
      </c>
      <c r="E102" s="103">
        <f>C102+D102</f>
        <v>0</v>
      </c>
    </row>
    <row r="103" spans="1:10" s="55" customFormat="1" ht="17.100000000000001" customHeight="1">
      <c r="A103" s="132"/>
      <c r="B103" s="64" t="s">
        <v>53</v>
      </c>
      <c r="C103" s="63">
        <f>SUM(C102:C102)</f>
        <v>0</v>
      </c>
      <c r="D103" s="63">
        <f>C103*Date!$C$14</f>
        <v>0</v>
      </c>
      <c r="E103" s="104">
        <f>C103+D103</f>
        <v>0</v>
      </c>
      <c r="J103" s="200"/>
    </row>
    <row r="104" spans="1:10" ht="17.100000000000001" customHeight="1">
      <c r="A104" s="146" t="s">
        <v>76</v>
      </c>
      <c r="B104" s="147" t="s">
        <v>79</v>
      </c>
      <c r="C104" s="142"/>
      <c r="D104" s="142"/>
      <c r="E104" s="143"/>
    </row>
    <row r="105" spans="1:10" ht="17.100000000000001" customHeight="1">
      <c r="A105" s="133" t="s">
        <v>77</v>
      </c>
      <c r="B105" s="60"/>
      <c r="C105" s="61">
        <v>0</v>
      </c>
      <c r="D105" s="61">
        <f>C105*Date!$C$14</f>
        <v>0</v>
      </c>
      <c r="E105" s="103">
        <f>C105+D105</f>
        <v>0</v>
      </c>
    </row>
    <row r="106" spans="1:10" s="55" customFormat="1" ht="17.100000000000001" customHeight="1">
      <c r="A106" s="132"/>
      <c r="B106" s="64" t="s">
        <v>78</v>
      </c>
      <c r="C106" s="63">
        <f>SUM(C105:C105)</f>
        <v>0</v>
      </c>
      <c r="D106" s="63">
        <f>C106*Date!$C$14</f>
        <v>0</v>
      </c>
      <c r="E106" s="104">
        <f>C106+D106</f>
        <v>0</v>
      </c>
      <c r="J106" s="200"/>
    </row>
    <row r="107" spans="1:10" s="55" customFormat="1" ht="17.100000000000001" customHeight="1">
      <c r="A107" s="132"/>
      <c r="B107" s="65" t="s">
        <v>71</v>
      </c>
      <c r="C107" s="63">
        <f>C87+C92+C97+C100+C103+C106</f>
        <v>196839855</v>
      </c>
      <c r="D107" s="63">
        <f>C107*Date!$C$14</f>
        <v>37399572.450000003</v>
      </c>
      <c r="E107" s="104">
        <f>C107+D107</f>
        <v>234239427.44999999</v>
      </c>
      <c r="G107" s="200">
        <f>C107/4.5744</f>
        <v>43030748.294858344</v>
      </c>
      <c r="J107" s="200">
        <f>E107/4.5744</f>
        <v>51206590.470881425</v>
      </c>
    </row>
    <row r="108" spans="1:10" ht="32.25" customHeight="1">
      <c r="A108" s="234" t="s">
        <v>4</v>
      </c>
      <c r="B108" s="235"/>
      <c r="C108" s="235"/>
      <c r="D108" s="235"/>
      <c r="E108" s="236"/>
      <c r="F108" s="59"/>
      <c r="G108" s="59"/>
      <c r="H108" s="59"/>
    </row>
    <row r="109" spans="1:10" s="72" customFormat="1" ht="17.100000000000001" customHeight="1">
      <c r="A109" s="146" t="s">
        <v>34</v>
      </c>
      <c r="B109" s="147" t="s">
        <v>12</v>
      </c>
      <c r="C109" s="142"/>
      <c r="D109" s="142"/>
      <c r="E109" s="143"/>
      <c r="J109" s="203"/>
    </row>
    <row r="110" spans="1:10" s="72" customFormat="1">
      <c r="A110" s="134" t="s">
        <v>42</v>
      </c>
      <c r="B110" s="67" t="s">
        <v>162</v>
      </c>
      <c r="C110" s="73">
        <f>'Cap. 5.1'!C20</f>
        <v>700000</v>
      </c>
      <c r="D110" s="61">
        <f>C110*Date!$C$14</f>
        <v>133000</v>
      </c>
      <c r="E110" s="107">
        <f>C110+D110</f>
        <v>833000</v>
      </c>
      <c r="F110" s="74"/>
      <c r="G110" s="74"/>
      <c r="H110" s="74"/>
      <c r="I110" s="74"/>
      <c r="J110" s="203"/>
    </row>
    <row r="111" spans="1:10" s="72" customFormat="1">
      <c r="A111" s="134" t="s">
        <v>43</v>
      </c>
      <c r="B111" s="75" t="s">
        <v>163</v>
      </c>
      <c r="C111" s="73">
        <f>'Cap. 5.1'!C24</f>
        <v>800000</v>
      </c>
      <c r="D111" s="61">
        <f>C111*Date!$C$14</f>
        <v>152000</v>
      </c>
      <c r="E111" s="107">
        <f>C111+D111</f>
        <v>952000</v>
      </c>
      <c r="F111" s="74"/>
      <c r="G111" s="74"/>
      <c r="H111" s="74"/>
      <c r="I111" s="74"/>
      <c r="J111" s="203"/>
    </row>
    <row r="112" spans="1:10" s="55" customFormat="1" ht="17.100000000000001" customHeight="1">
      <c r="A112" s="135"/>
      <c r="B112" s="76" t="s">
        <v>54</v>
      </c>
      <c r="C112" s="77">
        <f>SUM(C110:C111)</f>
        <v>1500000</v>
      </c>
      <c r="D112" s="63">
        <f>C112*Date!$C$14</f>
        <v>285000</v>
      </c>
      <c r="E112" s="108">
        <f>C112+D112</f>
        <v>1785000</v>
      </c>
      <c r="F112" s="78"/>
      <c r="G112" s="78"/>
      <c r="H112" s="78"/>
      <c r="I112" s="78"/>
      <c r="J112" s="200"/>
    </row>
    <row r="113" spans="1:10" ht="15" customHeight="1">
      <c r="A113" s="146" t="s">
        <v>35</v>
      </c>
      <c r="B113" s="160" t="s">
        <v>82</v>
      </c>
      <c r="C113" s="161"/>
      <c r="D113" s="154">
        <f>C113*Date!$C$14</f>
        <v>0</v>
      </c>
      <c r="E113" s="162"/>
      <c r="F113" s="69"/>
      <c r="G113" s="69"/>
      <c r="H113" s="69"/>
      <c r="I113" s="69"/>
    </row>
    <row r="114" spans="1:10">
      <c r="A114" s="133" t="s">
        <v>44</v>
      </c>
      <c r="B114" s="106" t="s">
        <v>136</v>
      </c>
      <c r="C114" s="68">
        <v>0</v>
      </c>
      <c r="D114" s="61">
        <f>C114*Date!$C$14</f>
        <v>0</v>
      </c>
      <c r="E114" s="105">
        <f t="shared" ref="E114:E121" si="5">C114+D114</f>
        <v>0</v>
      </c>
      <c r="F114" s="69"/>
      <c r="G114" s="69"/>
      <c r="H114" s="69"/>
      <c r="I114" s="69"/>
    </row>
    <row r="115" spans="1:10" ht="30">
      <c r="A115" s="133" t="s">
        <v>45</v>
      </c>
      <c r="B115" s="67" t="s">
        <v>259</v>
      </c>
      <c r="C115" s="68">
        <f>0.1%*(C87+C110)</f>
        <v>161551.33499999999</v>
      </c>
      <c r="D115" s="61">
        <v>0</v>
      </c>
      <c r="E115" s="105">
        <f t="shared" si="5"/>
        <v>161551.33499999999</v>
      </c>
      <c r="F115" s="69"/>
      <c r="G115" s="69"/>
      <c r="H115" s="69"/>
      <c r="I115" s="69"/>
    </row>
    <row r="116" spans="1:10" ht="45">
      <c r="A116" s="133" t="s">
        <v>137</v>
      </c>
      <c r="B116" s="67" t="s">
        <v>260</v>
      </c>
      <c r="C116" s="68">
        <f>0.5%*(C87+C110)</f>
        <v>807756.67500000005</v>
      </c>
      <c r="D116" s="61">
        <v>0</v>
      </c>
      <c r="E116" s="105">
        <f t="shared" si="5"/>
        <v>807756.67500000005</v>
      </c>
      <c r="F116" s="69"/>
      <c r="G116" s="69"/>
      <c r="H116" s="69"/>
      <c r="I116" s="69"/>
    </row>
    <row r="117" spans="1:10" ht="30">
      <c r="A117" s="133" t="s">
        <v>138</v>
      </c>
      <c r="B117" s="67" t="s">
        <v>164</v>
      </c>
      <c r="C117" s="68">
        <f>0.5%*(C25+C28+C31+C36+C87+C92+C110)</f>
        <v>850140.56</v>
      </c>
      <c r="D117" s="61">
        <v>0</v>
      </c>
      <c r="E117" s="105">
        <f t="shared" si="5"/>
        <v>850140.56</v>
      </c>
      <c r="F117" s="69"/>
      <c r="G117" s="69"/>
      <c r="H117" s="69"/>
      <c r="I117" s="69"/>
    </row>
    <row r="118" spans="1:10" ht="17.100000000000001" customHeight="1">
      <c r="A118" s="133" t="s">
        <v>139</v>
      </c>
      <c r="B118" s="67" t="s">
        <v>140</v>
      </c>
      <c r="C118" s="68">
        <v>0</v>
      </c>
      <c r="D118" s="61">
        <f>C118*Date!$C$14</f>
        <v>0</v>
      </c>
      <c r="E118" s="105">
        <f t="shared" si="5"/>
        <v>0</v>
      </c>
      <c r="F118" s="69"/>
      <c r="G118" s="69"/>
      <c r="H118" s="69"/>
      <c r="I118" s="69"/>
    </row>
    <row r="119" spans="1:10" s="55" customFormat="1" ht="17.100000000000001" customHeight="1">
      <c r="A119" s="135"/>
      <c r="B119" s="76" t="s">
        <v>55</v>
      </c>
      <c r="C119" s="77">
        <f>SUM(C114:C118)</f>
        <v>1819448.57</v>
      </c>
      <c r="D119" s="77">
        <f t="shared" ref="D119:E119" si="6">SUM(D114:D118)</f>
        <v>0</v>
      </c>
      <c r="E119" s="77">
        <f t="shared" si="6"/>
        <v>1819448.57</v>
      </c>
      <c r="F119" s="79"/>
      <c r="G119" s="79"/>
      <c r="H119" s="79"/>
      <c r="I119" s="79"/>
      <c r="J119" s="200"/>
    </row>
    <row r="120" spans="1:10">
      <c r="A120" s="133" t="s">
        <v>36</v>
      </c>
      <c r="B120" s="80" t="s">
        <v>271</v>
      </c>
      <c r="C120" s="66">
        <v>20795566.77</v>
      </c>
      <c r="D120" s="61">
        <f>C120*Date!$C$14</f>
        <v>3951157.6863000002</v>
      </c>
      <c r="E120" s="103">
        <f t="shared" si="5"/>
        <v>24746724.456299998</v>
      </c>
      <c r="H120" s="201"/>
    </row>
    <row r="121" spans="1:10">
      <c r="A121" s="133" t="s">
        <v>216</v>
      </c>
      <c r="B121" s="80" t="s">
        <v>141</v>
      </c>
      <c r="C121" s="66">
        <f>F121*Date!C22</f>
        <v>0</v>
      </c>
      <c r="D121" s="61">
        <f>C121*Date!$C$14</f>
        <v>0</v>
      </c>
      <c r="E121" s="103">
        <f t="shared" si="5"/>
        <v>0</v>
      </c>
    </row>
    <row r="122" spans="1:10" s="55" customFormat="1" ht="18.95" customHeight="1">
      <c r="A122" s="132"/>
      <c r="B122" s="65" t="s">
        <v>74</v>
      </c>
      <c r="C122" s="63">
        <f>C112+C119+C120+C121</f>
        <v>24115015.34</v>
      </c>
      <c r="D122" s="63">
        <f t="shared" ref="D122:E122" si="7">D112+D119+D120+D121</f>
        <v>4236157.6863000002</v>
      </c>
      <c r="E122" s="63">
        <f t="shared" si="7"/>
        <v>28351173.026299998</v>
      </c>
      <c r="H122" s="200"/>
      <c r="J122" s="200"/>
    </row>
    <row r="123" spans="1:10" ht="31.5" customHeight="1">
      <c r="A123" s="234" t="s">
        <v>142</v>
      </c>
      <c r="B123" s="235"/>
      <c r="C123" s="235"/>
      <c r="D123" s="235"/>
      <c r="E123" s="236"/>
      <c r="F123" s="59"/>
      <c r="G123" s="59"/>
      <c r="H123" s="59"/>
    </row>
    <row r="124" spans="1:10" ht="22.5" customHeight="1">
      <c r="A124" s="131" t="s">
        <v>37</v>
      </c>
      <c r="B124" s="67" t="s">
        <v>10</v>
      </c>
      <c r="C124" s="61">
        <v>0</v>
      </c>
      <c r="D124" s="61">
        <f>C124*Date!$C$14</f>
        <v>0</v>
      </c>
      <c r="E124" s="103">
        <f>C124+D124</f>
        <v>0</v>
      </c>
    </row>
    <row r="125" spans="1:10" ht="21" customHeight="1">
      <c r="A125" s="131" t="s">
        <v>38</v>
      </c>
      <c r="B125" s="67" t="s">
        <v>83</v>
      </c>
      <c r="C125" s="61">
        <v>950000</v>
      </c>
      <c r="D125" s="61">
        <f>C125*Date!$C$14</f>
        <v>180500</v>
      </c>
      <c r="E125" s="103">
        <f>C125+D125</f>
        <v>1130500</v>
      </c>
    </row>
    <row r="126" spans="1:10" s="55" customFormat="1" ht="18.95" customHeight="1">
      <c r="A126" s="132"/>
      <c r="B126" s="65" t="s">
        <v>75</v>
      </c>
      <c r="C126" s="63">
        <f>SUM(C124:C125)</f>
        <v>950000</v>
      </c>
      <c r="D126" s="63">
        <f>C126*Date!$C$14</f>
        <v>180500</v>
      </c>
      <c r="E126" s="104">
        <f>C126+D126</f>
        <v>1130500</v>
      </c>
      <c r="H126" s="200"/>
      <c r="J126" s="200"/>
    </row>
    <row r="127" spans="1:10" s="55" customFormat="1" ht="18.95" customHeight="1" thickBot="1">
      <c r="A127" s="136"/>
      <c r="B127" s="81"/>
      <c r="C127" s="82"/>
      <c r="D127" s="82"/>
      <c r="E127" s="109"/>
      <c r="J127" s="200"/>
    </row>
    <row r="128" spans="1:10" ht="24" customHeight="1">
      <c r="A128" s="239" t="s">
        <v>5</v>
      </c>
      <c r="B128" s="240"/>
      <c r="C128" s="83">
        <f>C32+C36+C75+C107+C122+C126</f>
        <v>235114081.57475001</v>
      </c>
      <c r="D128" s="83">
        <f t="shared" ref="D128" si="8">D32+D36+D75+D107+D122+D126</f>
        <v>44325980.270902507</v>
      </c>
      <c r="E128" s="83">
        <f>ROUNDDOWN(E32+E36+E75+E107+E122+E126,2)</f>
        <v>279440061.83999997</v>
      </c>
      <c r="F128" s="89"/>
      <c r="G128" s="89"/>
    </row>
    <row r="129" spans="1:10" ht="24" customHeight="1" thickBot="1">
      <c r="A129" s="241" t="s">
        <v>143</v>
      </c>
      <c r="B129" s="242"/>
      <c r="C129" s="84">
        <f>C25+C28+C31+C36+C87+C92+C110</f>
        <v>170028112</v>
      </c>
      <c r="D129" s="84">
        <f t="shared" ref="D129:E129" si="9">D25+D28+D31+D36+D87+D92+D110</f>
        <v>32305341.279999997</v>
      </c>
      <c r="E129" s="84">
        <f t="shared" si="9"/>
        <v>202333453.28</v>
      </c>
    </row>
    <row r="130" spans="1:10" ht="15.75">
      <c r="A130" s="137"/>
      <c r="B130" s="85"/>
      <c r="C130" s="86"/>
      <c r="D130" s="86"/>
      <c r="E130" s="86"/>
      <c r="F130" s="94"/>
      <c r="G130" s="55"/>
    </row>
    <row r="131" spans="1:10" s="55" customFormat="1" ht="21" customHeight="1">
      <c r="A131" s="270"/>
      <c r="B131" s="271" t="s">
        <v>277</v>
      </c>
      <c r="C131" s="271"/>
      <c r="D131" s="272"/>
      <c r="E131" s="273"/>
      <c r="J131" s="200"/>
    </row>
    <row r="132" spans="1:10" ht="15" customHeight="1">
      <c r="A132" s="274"/>
      <c r="B132" s="275"/>
      <c r="C132" s="276"/>
      <c r="D132" s="276"/>
      <c r="E132" s="276"/>
      <c r="F132" s="277"/>
      <c r="G132" s="277"/>
      <c r="H132" s="277"/>
      <c r="I132" s="277"/>
    </row>
    <row r="133" spans="1:10" ht="15.75" customHeight="1">
      <c r="A133" s="250" t="s">
        <v>144</v>
      </c>
      <c r="B133" s="250"/>
      <c r="C133" s="53"/>
      <c r="D133" s="53"/>
      <c r="E133" s="53"/>
      <c r="F133" s="41"/>
      <c r="G133" s="41"/>
      <c r="H133" s="41"/>
      <c r="I133" s="41"/>
    </row>
    <row r="134" spans="1:10">
      <c r="A134" s="278" t="s">
        <v>264</v>
      </c>
      <c r="B134" s="278"/>
      <c r="C134" s="53"/>
      <c r="D134" s="53"/>
      <c r="E134" s="53"/>
      <c r="F134" s="37"/>
      <c r="G134" s="37"/>
      <c r="H134" s="37"/>
      <c r="I134" s="37"/>
    </row>
    <row r="135" spans="1:10" ht="18" customHeight="1">
      <c r="A135" s="279"/>
      <c r="B135" s="279"/>
      <c r="C135" s="53"/>
      <c r="D135" s="53"/>
      <c r="E135" s="53"/>
      <c r="F135" s="37"/>
      <c r="G135" s="37"/>
      <c r="H135" s="37"/>
      <c r="I135" s="37"/>
    </row>
    <row r="136" spans="1:10" ht="14.25" customHeight="1">
      <c r="A136" s="279"/>
      <c r="B136" s="280" t="s">
        <v>278</v>
      </c>
      <c r="C136" s="214"/>
      <c r="D136" s="281" t="s">
        <v>275</v>
      </c>
      <c r="E136" s="281"/>
      <c r="F136" s="37"/>
      <c r="G136" s="37"/>
      <c r="H136" s="37"/>
      <c r="I136" s="38"/>
    </row>
    <row r="137" spans="1:10" ht="14.25" customHeight="1">
      <c r="A137" s="279"/>
      <c r="B137" s="280" t="s">
        <v>196</v>
      </c>
      <c r="D137" s="282" t="s">
        <v>279</v>
      </c>
      <c r="F137" s="40"/>
      <c r="G137" s="40"/>
      <c r="H137" s="40"/>
      <c r="I137" s="38"/>
    </row>
    <row r="138" spans="1:10" ht="19.5" customHeight="1">
      <c r="A138" s="214"/>
      <c r="B138" s="283" t="s">
        <v>272</v>
      </c>
      <c r="C138" s="250" t="s">
        <v>57</v>
      </c>
      <c r="D138" s="250"/>
      <c r="E138" s="250"/>
      <c r="F138" s="40"/>
      <c r="G138" s="40"/>
      <c r="H138" s="40"/>
      <c r="I138" s="38"/>
    </row>
    <row r="139" spans="1:10" ht="20.25" customHeight="1">
      <c r="A139" s="214"/>
      <c r="B139" s="283" t="s">
        <v>273</v>
      </c>
      <c r="C139" s="284" t="s">
        <v>91</v>
      </c>
      <c r="D139" s="284"/>
      <c r="E139" s="284"/>
      <c r="F139" s="40"/>
      <c r="G139" s="40"/>
      <c r="H139" s="40"/>
      <c r="I139" s="38"/>
    </row>
    <row r="140" spans="1:10" ht="12.75" customHeight="1">
      <c r="A140" s="285"/>
      <c r="B140" s="285"/>
      <c r="C140" s="286" t="str">
        <f>Date!C24</f>
        <v>ing. BAICU Marin</v>
      </c>
      <c r="D140" s="286"/>
      <c r="E140" s="286"/>
      <c r="F140" s="40"/>
      <c r="G140" s="40"/>
      <c r="H140" s="40"/>
      <c r="I140" s="38"/>
    </row>
    <row r="141" spans="1:10" ht="12.75" customHeight="1">
      <c r="A141" s="238"/>
      <c r="B141" s="237"/>
      <c r="E141" s="48"/>
      <c r="F141" s="40"/>
      <c r="G141" s="40"/>
      <c r="H141" s="40"/>
      <c r="I141" s="39"/>
    </row>
    <row r="142" spans="1:10" ht="15" customHeight="1">
      <c r="A142" s="125"/>
      <c r="B142" s="48"/>
      <c r="C142" s="48"/>
      <c r="D142" s="48"/>
      <c r="E142" s="48"/>
      <c r="F142" s="40"/>
      <c r="G142" s="40"/>
      <c r="H142" s="40"/>
      <c r="I142" s="39"/>
    </row>
    <row r="143" spans="1:10" ht="15" customHeight="1">
      <c r="B143" s="87"/>
      <c r="C143" s="233"/>
      <c r="D143" s="233"/>
      <c r="E143" s="233"/>
      <c r="F143" s="88"/>
      <c r="G143" s="88"/>
      <c r="H143" s="88"/>
      <c r="I143" s="89"/>
    </row>
    <row r="144" spans="1:10" ht="15" customHeight="1">
      <c r="B144" s="87"/>
      <c r="C144" s="90"/>
      <c r="D144" s="90"/>
      <c r="E144" s="90"/>
      <c r="F144" s="88"/>
      <c r="G144" s="88"/>
      <c r="H144" s="88"/>
      <c r="I144" s="89"/>
    </row>
    <row r="145" spans="1:14" ht="15" customHeight="1">
      <c r="B145" s="87"/>
      <c r="C145" s="90"/>
      <c r="D145" s="90"/>
      <c r="E145" s="90"/>
      <c r="F145" s="88"/>
      <c r="G145" s="88"/>
      <c r="H145" s="88"/>
      <c r="I145" s="89"/>
    </row>
    <row r="146" spans="1:14" ht="15" customHeight="1">
      <c r="B146" s="87"/>
      <c r="C146" s="90"/>
      <c r="D146" s="90"/>
      <c r="E146" s="90"/>
      <c r="F146" s="88"/>
      <c r="G146" s="88"/>
      <c r="H146" s="88"/>
      <c r="I146" s="89"/>
    </row>
    <row r="147" spans="1:14" ht="15" customHeight="1">
      <c r="B147" s="87"/>
      <c r="C147" s="91"/>
      <c r="D147" s="92"/>
      <c r="E147" s="92"/>
      <c r="F147" s="88"/>
      <c r="G147" s="88"/>
      <c r="H147" s="88"/>
      <c r="I147" s="89"/>
    </row>
    <row r="148" spans="1:14" ht="12.75" customHeight="1">
      <c r="A148" s="139"/>
      <c r="B148" s="90"/>
      <c r="C148" s="91"/>
      <c r="D148" s="90"/>
      <c r="E148" s="90"/>
      <c r="F148" s="88"/>
      <c r="G148" s="88"/>
      <c r="H148" s="88"/>
      <c r="I148" s="93"/>
      <c r="N148" s="53" t="s">
        <v>3</v>
      </c>
    </row>
    <row r="149" spans="1:14" ht="12.75" customHeight="1">
      <c r="A149" s="139"/>
      <c r="B149" s="90"/>
      <c r="C149" s="90"/>
      <c r="D149" s="92"/>
      <c r="E149" s="92"/>
      <c r="F149" s="88"/>
      <c r="G149" s="88"/>
      <c r="H149" s="88"/>
      <c r="I149" s="93"/>
    </row>
    <row r="150" spans="1:14" ht="17.25" customHeight="1">
      <c r="A150" s="32"/>
      <c r="B150" s="90"/>
      <c r="C150" s="90"/>
      <c r="D150" s="92"/>
      <c r="E150" s="92"/>
      <c r="F150" s="88"/>
      <c r="G150" s="88"/>
      <c r="H150" s="88"/>
      <c r="I150" s="94"/>
    </row>
    <row r="151" spans="1:14" ht="15" customHeight="1">
      <c r="B151" s="87"/>
      <c r="C151" s="90"/>
      <c r="D151" s="95"/>
      <c r="E151" s="95"/>
      <c r="F151" s="88"/>
      <c r="G151" s="88"/>
      <c r="H151" s="88"/>
      <c r="I151" s="89"/>
    </row>
    <row r="152" spans="1:14" ht="15" customHeight="1">
      <c r="B152" s="87"/>
      <c r="C152" s="90"/>
      <c r="D152" s="91"/>
      <c r="E152" s="91"/>
      <c r="F152" s="88"/>
      <c r="G152" s="88"/>
      <c r="H152" s="88"/>
      <c r="I152" s="89"/>
    </row>
    <row r="153" spans="1:14" ht="15.75">
      <c r="B153" s="87"/>
      <c r="C153" s="91"/>
      <c r="D153" s="92"/>
      <c r="E153" s="92"/>
      <c r="F153" s="88"/>
      <c r="G153" s="88"/>
      <c r="H153" s="88"/>
      <c r="I153" s="89"/>
    </row>
    <row r="154" spans="1:14" ht="15.75">
      <c r="B154" s="87"/>
      <c r="C154" s="96"/>
      <c r="D154" s="96"/>
      <c r="E154" s="97"/>
    </row>
    <row r="155" spans="1:14" ht="15.75">
      <c r="B155" s="87"/>
      <c r="C155" s="90"/>
      <c r="D155" s="90"/>
      <c r="E155" s="97"/>
    </row>
    <row r="156" spans="1:14" ht="15.75">
      <c r="B156" s="87"/>
      <c r="C156" s="90"/>
      <c r="D156" s="92"/>
      <c r="E156" s="92"/>
    </row>
    <row r="157" spans="1:14" ht="15" customHeight="1">
      <c r="B157" s="87"/>
      <c r="D157" s="95"/>
      <c r="E157" s="95"/>
    </row>
    <row r="158" spans="1:14" ht="15" customHeight="1">
      <c r="B158" s="87"/>
      <c r="C158" s="233"/>
      <c r="D158" s="233"/>
      <c r="E158" s="233"/>
    </row>
    <row r="162" spans="3:5" ht="15.75">
      <c r="C162" s="95"/>
      <c r="D162" s="95"/>
      <c r="E162" s="95"/>
    </row>
    <row r="163" spans="3:5" ht="15.75">
      <c r="C163" s="233"/>
      <c r="D163" s="233"/>
      <c r="E163" s="233"/>
    </row>
  </sheetData>
  <mergeCells count="34">
    <mergeCell ref="C140:E140"/>
    <mergeCell ref="A1:E1"/>
    <mergeCell ref="A2:E2"/>
    <mergeCell ref="A3:E3"/>
    <mergeCell ref="C138:E138"/>
    <mergeCell ref="C139:E139"/>
    <mergeCell ref="A14:A16"/>
    <mergeCell ref="C14:C15"/>
    <mergeCell ref="A18:E18"/>
    <mergeCell ref="A6:E6"/>
    <mergeCell ref="A7:E7"/>
    <mergeCell ref="D14:D15"/>
    <mergeCell ref="A9:E9"/>
    <mergeCell ref="B14:B16"/>
    <mergeCell ref="E14:E15"/>
    <mergeCell ref="A12:E12"/>
    <mergeCell ref="A11:E11"/>
    <mergeCell ref="A19:E19"/>
    <mergeCell ref="A128:B128"/>
    <mergeCell ref="A129:B129"/>
    <mergeCell ref="A108:E108"/>
    <mergeCell ref="D4:E4"/>
    <mergeCell ref="C163:E163"/>
    <mergeCell ref="C158:E158"/>
    <mergeCell ref="A33:E33"/>
    <mergeCell ref="A123:E123"/>
    <mergeCell ref="A76:E76"/>
    <mergeCell ref="A37:E37"/>
    <mergeCell ref="A134:B134"/>
    <mergeCell ref="A133:B133"/>
    <mergeCell ref="B131:C131"/>
    <mergeCell ref="A140:B140"/>
    <mergeCell ref="C143:E143"/>
    <mergeCell ref="A141:B141"/>
  </mergeCells>
  <phoneticPr fontId="10" type="noConversion"/>
  <pageMargins left="0.64" right="0.21" top="0.5" bottom="0.57999999999999996" header="0" footer="0.59055118110236204"/>
  <pageSetup paperSize="9" scale="41" orientation="portrait" r:id="rId1"/>
  <headerFooter alignWithMargins="0">
    <oddFooter xml:space="preserve">&amp;C                               Pagina &amp;P din &amp;N&amp;R&amp;"Arial,Bold"&amp;8             </oddFooter>
  </headerFooter>
  <rowBreaks count="1" manualBreakCount="1">
    <brk id="75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34"/>
  <sheetViews>
    <sheetView topLeftCell="A10" workbookViewId="0">
      <selection activeCell="C31" sqref="C31:H31"/>
    </sheetView>
  </sheetViews>
  <sheetFormatPr defaultRowHeight="12.75"/>
  <cols>
    <col min="2" max="2" width="45" customWidth="1"/>
    <col min="4" max="4" width="64.5703125" customWidth="1"/>
    <col min="7" max="7" width="11.5703125" customWidth="1"/>
  </cols>
  <sheetData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>
      <c r="B4" s="2" t="s">
        <v>16</v>
      </c>
      <c r="C4" s="27" t="s">
        <v>88</v>
      </c>
      <c r="D4" s="204" t="s">
        <v>213</v>
      </c>
      <c r="E4" s="49"/>
      <c r="F4" s="49"/>
      <c r="G4" s="49"/>
      <c r="H4" s="1"/>
      <c r="I4" s="1"/>
      <c r="J4" s="260"/>
      <c r="K4" s="260"/>
      <c r="L4" s="260"/>
      <c r="M4" s="260"/>
    </row>
    <row r="5" spans="2:13">
      <c r="B5" s="2"/>
      <c r="C5" s="27" t="s">
        <v>156</v>
      </c>
      <c r="D5" s="204" t="s">
        <v>212</v>
      </c>
      <c r="E5" s="49"/>
      <c r="F5" s="49"/>
      <c r="G5" s="49"/>
      <c r="H5" s="49"/>
      <c r="I5" s="49"/>
      <c r="J5" s="49"/>
      <c r="K5" s="49"/>
      <c r="L5" s="49"/>
      <c r="M5" s="49"/>
    </row>
    <row r="6" spans="2:13">
      <c r="B6" s="2"/>
      <c r="C6" s="27" t="s">
        <v>157</v>
      </c>
      <c r="D6" s="204" t="s">
        <v>256</v>
      </c>
      <c r="E6" s="49"/>
      <c r="F6" s="49"/>
      <c r="G6" s="49"/>
      <c r="H6" s="49"/>
      <c r="I6" s="49"/>
      <c r="J6" s="49"/>
      <c r="K6" s="49"/>
      <c r="L6" s="49"/>
      <c r="M6" s="49"/>
    </row>
    <row r="7" spans="2:13">
      <c r="B7" s="2"/>
      <c r="C7" s="27" t="s">
        <v>158</v>
      </c>
      <c r="D7" s="204" t="s">
        <v>161</v>
      </c>
      <c r="E7" s="127"/>
      <c r="F7" s="127"/>
      <c r="G7" s="127"/>
      <c r="H7" s="127"/>
      <c r="I7" s="127"/>
      <c r="J7" s="127"/>
      <c r="K7" s="127"/>
      <c r="L7" s="127"/>
      <c r="M7" s="127"/>
    </row>
    <row r="8" spans="2:13">
      <c r="B8" s="2"/>
      <c r="C8" s="27" t="s">
        <v>159</v>
      </c>
      <c r="D8" s="126" t="s">
        <v>242</v>
      </c>
      <c r="E8" s="49"/>
      <c r="F8" s="49"/>
      <c r="G8" s="49"/>
      <c r="H8" s="49"/>
      <c r="I8" s="49"/>
      <c r="J8" s="49"/>
      <c r="K8" s="49"/>
      <c r="L8" s="49"/>
      <c r="M8" s="49"/>
    </row>
    <row r="9" spans="2:13">
      <c r="B9" s="2"/>
      <c r="C9" s="27" t="s">
        <v>160</v>
      </c>
      <c r="D9" s="204" t="s">
        <v>244</v>
      </c>
      <c r="E9" s="49"/>
      <c r="F9" s="49"/>
      <c r="G9" s="49"/>
      <c r="H9" s="49"/>
      <c r="I9" s="49"/>
      <c r="J9" s="49"/>
      <c r="K9" s="49"/>
      <c r="L9" s="49"/>
      <c r="M9" s="49"/>
    </row>
    <row r="10" spans="2:13">
      <c r="B10" s="2"/>
      <c r="C10" s="27" t="s">
        <v>217</v>
      </c>
      <c r="D10" s="204" t="s">
        <v>243</v>
      </c>
      <c r="E10" s="49"/>
      <c r="F10" s="49"/>
      <c r="G10" s="49"/>
      <c r="H10" s="49"/>
      <c r="I10" s="49"/>
      <c r="J10" s="49"/>
      <c r="K10" s="49"/>
      <c r="L10" s="49"/>
      <c r="M10" s="49"/>
    </row>
    <row r="11" spans="2:13">
      <c r="B11" s="2"/>
      <c r="C11" s="27" t="s">
        <v>247</v>
      </c>
      <c r="D11" s="204" t="s">
        <v>245</v>
      </c>
      <c r="E11" s="49"/>
      <c r="F11" s="49"/>
      <c r="G11" s="49"/>
      <c r="H11" s="49"/>
      <c r="I11" s="49"/>
      <c r="J11" s="49"/>
      <c r="K11" s="49"/>
      <c r="L11" s="49"/>
      <c r="M11" s="49"/>
    </row>
    <row r="12" spans="2:13">
      <c r="B12" s="2"/>
      <c r="C12" s="27" t="s">
        <v>248</v>
      </c>
      <c r="D12" s="196" t="s">
        <v>246</v>
      </c>
      <c r="E12" s="196"/>
      <c r="F12" s="196"/>
      <c r="G12" s="196"/>
      <c r="H12" s="1"/>
      <c r="I12" s="1"/>
      <c r="J12" s="260"/>
      <c r="K12" s="260"/>
      <c r="L12" s="260"/>
      <c r="M12" s="260"/>
    </row>
    <row r="13" spans="2:13">
      <c r="B13" s="2"/>
      <c r="C13" s="27"/>
      <c r="D13" s="260"/>
      <c r="E13" s="260"/>
      <c r="F13" s="260"/>
      <c r="G13" s="260"/>
      <c r="H13" s="1"/>
      <c r="I13" s="1"/>
      <c r="J13" s="260"/>
      <c r="K13" s="260"/>
      <c r="L13" s="260"/>
      <c r="M13" s="260"/>
    </row>
    <row r="14" spans="2:13">
      <c r="B14" s="2" t="s">
        <v>81</v>
      </c>
      <c r="C14" s="27" t="s">
        <v>146</v>
      </c>
      <c r="D14" s="260"/>
      <c r="E14" s="260"/>
      <c r="F14" s="260"/>
      <c r="G14" s="260"/>
      <c r="H14" s="1"/>
      <c r="I14" s="1"/>
      <c r="J14" s="260"/>
      <c r="K14" s="260"/>
      <c r="L14" s="260"/>
      <c r="M14" s="260"/>
    </row>
    <row r="15" spans="2:13">
      <c r="B15" s="3"/>
      <c r="C15" s="27"/>
      <c r="D15" s="260"/>
      <c r="E15" s="260"/>
      <c r="F15" s="260"/>
      <c r="G15" s="260"/>
      <c r="H15" s="3"/>
      <c r="I15" s="3"/>
      <c r="J15" s="3"/>
      <c r="K15" s="3"/>
      <c r="L15" s="3"/>
      <c r="M15" s="3"/>
    </row>
    <row r="16" spans="2:13" ht="13.5" thickBot="1">
      <c r="B16" s="3"/>
      <c r="C16" s="27"/>
      <c r="D16" s="260"/>
      <c r="E16" s="260"/>
      <c r="F16" s="260"/>
      <c r="G16" s="260"/>
      <c r="H16" s="197" t="s">
        <v>238</v>
      </c>
      <c r="I16" s="3"/>
      <c r="J16" s="3"/>
      <c r="K16" s="3"/>
      <c r="L16" s="3"/>
      <c r="M16" s="3"/>
    </row>
    <row r="17" spans="2:13">
      <c r="B17" s="3"/>
      <c r="C17" s="27"/>
      <c r="D17" s="260"/>
      <c r="E17" s="260"/>
      <c r="F17" s="260"/>
      <c r="G17" s="260"/>
      <c r="H17" s="198"/>
      <c r="I17" s="3"/>
      <c r="J17" s="3"/>
      <c r="K17" s="3"/>
      <c r="L17" s="3"/>
      <c r="M17" s="3"/>
    </row>
    <row r="18" spans="2:13" ht="13.5" thickBot="1">
      <c r="B18" s="3"/>
      <c r="C18" s="27"/>
      <c r="D18" s="260"/>
      <c r="E18" s="260"/>
      <c r="F18" s="260"/>
      <c r="G18" s="260"/>
      <c r="H18" s="197" t="s">
        <v>239</v>
      </c>
      <c r="I18" s="3"/>
      <c r="J18" s="3"/>
      <c r="K18" s="3"/>
      <c r="L18" s="3"/>
      <c r="M18" s="3"/>
    </row>
    <row r="19" spans="2:13">
      <c r="B19" s="3"/>
      <c r="C19" s="27"/>
      <c r="D19" s="260"/>
      <c r="E19" s="260"/>
      <c r="F19" s="260"/>
      <c r="G19" s="260"/>
      <c r="H19" s="198"/>
      <c r="I19" s="3"/>
      <c r="J19" s="3"/>
      <c r="K19" s="3"/>
      <c r="L19" s="3"/>
      <c r="M19" s="3"/>
    </row>
    <row r="20" spans="2:13">
      <c r="B20" s="2" t="s">
        <v>17</v>
      </c>
      <c r="C20" s="263" t="s">
        <v>241</v>
      </c>
      <c r="D20" s="263"/>
      <c r="E20" s="263"/>
      <c r="F20" s="263"/>
      <c r="G20" s="263"/>
      <c r="H20" s="197" t="s">
        <v>240</v>
      </c>
      <c r="I20" s="4"/>
      <c r="J20" s="3"/>
      <c r="K20" s="3"/>
      <c r="L20" s="3"/>
      <c r="M20" s="3"/>
    </row>
    <row r="21" spans="2:13">
      <c r="B21" s="3"/>
      <c r="C21" s="163"/>
      <c r="D21" s="163"/>
      <c r="E21" s="163"/>
      <c r="F21" s="163"/>
      <c r="G21" s="163"/>
      <c r="H21" s="3"/>
      <c r="I21" s="3"/>
      <c r="J21" s="3"/>
      <c r="K21" s="3"/>
      <c r="L21" s="3"/>
      <c r="M21" s="3"/>
    </row>
    <row r="22" spans="2:13">
      <c r="B22" s="2" t="s">
        <v>18</v>
      </c>
      <c r="C22" s="164">
        <v>4.6596000000000002</v>
      </c>
      <c r="D22" s="163"/>
      <c r="E22" s="163"/>
      <c r="F22" s="163"/>
      <c r="G22" s="163"/>
      <c r="H22" s="3"/>
      <c r="I22" s="3"/>
      <c r="J22" s="3"/>
      <c r="K22" s="3"/>
      <c r="L22" s="3"/>
      <c r="M22" s="3"/>
    </row>
    <row r="23" spans="2:13">
      <c r="B23" s="2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>
      <c r="B24" s="2" t="s">
        <v>19</v>
      </c>
      <c r="C24" s="262" t="s">
        <v>263</v>
      </c>
      <c r="D24" s="262"/>
      <c r="E24" s="262"/>
      <c r="F24" s="1"/>
      <c r="G24" s="3"/>
      <c r="H24" s="3"/>
      <c r="I24" s="3"/>
      <c r="J24" s="3"/>
      <c r="K24" s="3"/>
      <c r="L24" s="3"/>
      <c r="M24" s="3"/>
    </row>
    <row r="25" spans="2:13">
      <c r="B25" s="2"/>
      <c r="C25" s="4"/>
      <c r="D25" s="4"/>
      <c r="E25" s="4"/>
      <c r="F25" s="1"/>
      <c r="G25" s="3"/>
      <c r="H25" s="3"/>
      <c r="I25" s="3"/>
      <c r="J25" s="3"/>
      <c r="K25" s="3"/>
      <c r="L25" s="3"/>
      <c r="M25" s="3"/>
    </row>
    <row r="26" spans="2:13">
      <c r="B26" s="2" t="s">
        <v>89</v>
      </c>
      <c r="C26" s="261"/>
      <c r="D26" s="261"/>
      <c r="E26" s="261"/>
      <c r="F26" s="1"/>
      <c r="G26" s="3"/>
      <c r="H26" s="3"/>
      <c r="I26" s="3"/>
      <c r="J26" s="3"/>
      <c r="K26" s="3"/>
      <c r="L26" s="3"/>
      <c r="M26" s="3"/>
    </row>
    <row r="27" spans="2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12.75" customHeight="1">
      <c r="B29" s="2" t="s">
        <v>56</v>
      </c>
      <c r="C29" s="128" t="s">
        <v>196</v>
      </c>
      <c r="D29" s="119"/>
      <c r="E29" s="119"/>
      <c r="F29" s="119"/>
      <c r="G29" s="119"/>
      <c r="H29" s="4"/>
      <c r="I29" s="4"/>
      <c r="J29" s="4"/>
      <c r="K29" s="4"/>
    </row>
    <row r="30" spans="2:13">
      <c r="B30" s="12"/>
      <c r="C30" s="17"/>
      <c r="D30" s="17"/>
      <c r="E30" s="17"/>
    </row>
    <row r="31" spans="2:13" ht="15.75">
      <c r="B31" s="45" t="s">
        <v>94</v>
      </c>
      <c r="C31" s="264" t="s">
        <v>274</v>
      </c>
      <c r="D31" s="264"/>
      <c r="E31" s="264"/>
      <c r="F31" s="264"/>
      <c r="G31" s="264"/>
      <c r="H31" s="264"/>
    </row>
    <row r="32" spans="2:13">
      <c r="C32" s="18"/>
      <c r="D32" s="18"/>
      <c r="E32" s="18"/>
    </row>
    <row r="33" spans="3:5">
      <c r="C33" s="19"/>
      <c r="D33" s="19"/>
      <c r="E33" s="19"/>
    </row>
    <row r="34" spans="3:5">
      <c r="C34" s="20"/>
      <c r="D34" s="20"/>
      <c r="E34" s="20"/>
    </row>
  </sheetData>
  <mergeCells count="15">
    <mergeCell ref="C31:H31"/>
    <mergeCell ref="C26:E26"/>
    <mergeCell ref="C24:E24"/>
    <mergeCell ref="C20:G20"/>
    <mergeCell ref="D15:G15"/>
    <mergeCell ref="D13:G13"/>
    <mergeCell ref="D14:G14"/>
    <mergeCell ref="D19:G19"/>
    <mergeCell ref="J4:M4"/>
    <mergeCell ref="J12:M12"/>
    <mergeCell ref="J13:M13"/>
    <mergeCell ref="J14:M14"/>
    <mergeCell ref="D18:G18"/>
    <mergeCell ref="D16:G16"/>
    <mergeCell ref="D17:G17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G9"/>
  <sheetViews>
    <sheetView view="pageBreakPreview" zoomScale="60" zoomScaleNormal="100" workbookViewId="0">
      <selection activeCell="F40" sqref="F40"/>
    </sheetView>
  </sheetViews>
  <sheetFormatPr defaultRowHeight="12.75"/>
  <cols>
    <col min="1" max="7" width="20.7109375" customWidth="1"/>
  </cols>
  <sheetData>
    <row r="5" spans="1:7">
      <c r="D5" s="194"/>
      <c r="G5" s="194" t="s">
        <v>231</v>
      </c>
    </row>
    <row r="6" spans="1:7" ht="60" customHeight="1">
      <c r="A6" s="192" t="s">
        <v>230</v>
      </c>
      <c r="B6" s="195" t="s">
        <v>232</v>
      </c>
      <c r="C6" s="195" t="s">
        <v>233</v>
      </c>
      <c r="D6" s="195" t="s">
        <v>234</v>
      </c>
      <c r="E6" s="195" t="s">
        <v>235</v>
      </c>
      <c r="F6" s="195" t="s">
        <v>236</v>
      </c>
      <c r="G6" s="195" t="s">
        <v>237</v>
      </c>
    </row>
    <row r="7" spans="1:7" ht="35.1" customHeight="1">
      <c r="A7" s="193" t="s">
        <v>227</v>
      </c>
      <c r="B7" s="61">
        <f>'Deviz general'!C128</f>
        <v>235114081.57475001</v>
      </c>
      <c r="C7" s="61">
        <f>B7/Date!$C$22</f>
        <v>50457996.732498497</v>
      </c>
      <c r="D7" s="61">
        <f>'Deviz general'!C129</f>
        <v>170028112</v>
      </c>
      <c r="E7" s="61">
        <f>D7/Date!$C$22</f>
        <v>36489851.489398234</v>
      </c>
      <c r="F7" s="61">
        <v>82960000</v>
      </c>
      <c r="G7" s="61">
        <f>E7-F7</f>
        <v>-46470148.510601766</v>
      </c>
    </row>
    <row r="8" spans="1:7" ht="35.1" customHeight="1">
      <c r="A8" s="193" t="s">
        <v>228</v>
      </c>
      <c r="B8" s="61">
        <f>'[3]Deviz general'!$C$121</f>
        <v>540573794.49547362</v>
      </c>
      <c r="C8" s="61">
        <f>B8/Date!$C$22</f>
        <v>116012918.38258082</v>
      </c>
      <c r="D8" s="61">
        <f>'[3]Deviz general'!$C$122</f>
        <v>387900977.28000003</v>
      </c>
      <c r="E8" s="61">
        <f>D8/Date!$C$22</f>
        <v>83247698.789595678</v>
      </c>
      <c r="F8" s="61">
        <v>87960000</v>
      </c>
      <c r="G8" s="61">
        <f t="shared" ref="G8:G9" si="0">E8-F8</f>
        <v>-4712301.2104043216</v>
      </c>
    </row>
    <row r="9" spans="1:7" ht="35.1" customHeight="1">
      <c r="A9" s="193" t="s">
        <v>229</v>
      </c>
      <c r="B9" s="61">
        <f>'[4]Deviz general'!$C$121</f>
        <v>550546963.35027361</v>
      </c>
      <c r="C9" s="61">
        <f>B9/Date!$C$22</f>
        <v>118153267.09380066</v>
      </c>
      <c r="D9" s="61">
        <f>'[4]Deviz general'!$C$122</f>
        <v>387584997.28000003</v>
      </c>
      <c r="E9" s="61">
        <f>D9/Date!$C$22</f>
        <v>83179886.10181132</v>
      </c>
      <c r="F9" s="61">
        <v>87960000</v>
      </c>
      <c r="G9" s="61">
        <f t="shared" si="0"/>
        <v>-4780113.8981886804</v>
      </c>
    </row>
  </sheetData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Cap. 1</vt:lpstr>
      <vt:lpstr>Cap. 4</vt:lpstr>
      <vt:lpstr>Cap. 5.1</vt:lpstr>
      <vt:lpstr>Deviz general</vt:lpstr>
      <vt:lpstr>Date</vt:lpstr>
      <vt:lpstr>Centralizator</vt:lpstr>
      <vt:lpstr>'Cap. 1'!Print_Area</vt:lpstr>
      <vt:lpstr>'Cap. 4'!Print_Area</vt:lpstr>
      <vt:lpstr>'Deviz general'!Print_Area</vt:lpstr>
      <vt:lpstr>'Deviz general'!Print_Titles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OTELEA</dc:creator>
  <cp:lastModifiedBy>Madalina Alexandru</cp:lastModifiedBy>
  <cp:lastPrinted>2020-06-24T06:03:54Z</cp:lastPrinted>
  <dcterms:created xsi:type="dcterms:W3CDTF">2000-05-09T11:33:49Z</dcterms:created>
  <dcterms:modified xsi:type="dcterms:W3CDTF">2020-06-24T06:03:56Z</dcterms:modified>
</cp:coreProperties>
</file>