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3"/>
  <workbookPr/>
  <mc:AlternateContent xmlns:mc="http://schemas.openxmlformats.org/markup-compatibility/2006">
    <mc:Choice Requires="x15">
      <x15ac:absPath xmlns:x15ac="http://schemas.microsoft.com/office/spreadsheetml/2010/11/ac" url="/Users/lianagoran/Desktop/APĂ/"/>
    </mc:Choice>
  </mc:AlternateContent>
  <xr:revisionPtr revIDLastSave="0" documentId="13_ncr:1_{5FB1AA2A-3633-FF47-A309-2EE73728D936}" xr6:coauthVersionLast="45" xr6:coauthVersionMax="45" xr10:uidLastSave="{00000000-0000-0000-0000-000000000000}"/>
  <bookViews>
    <workbookView xWindow="0" yWindow="460" windowWidth="28800" windowHeight="15420" tabRatio="879" activeTab="1" xr2:uid="{00000000-000D-0000-FFFF-FFFF00000000}"/>
  </bookViews>
  <sheets>
    <sheet name="NETWOKS UNIT COST CALCULATION " sheetId="8" r:id="rId1"/>
    <sheet name="COSTING RRP" sheetId="6" r:id="rId2"/>
    <sheet name="WATER_NEW - Matrix" sheetId="1" r:id="rId3"/>
    <sheet name="WATER_REHAB - Matrix)" sheetId="2" r:id="rId4"/>
    <sheet name="SEWERAGE_Matrix - New PVC" sheetId="3" r:id="rId5"/>
    <sheet name="SEWERAGE_Matrix - New PP" sheetId="4" r:id="rId6"/>
    <sheet name="SEWERAGE_Matrix - Rehab PVC" sheetId="5" r:id="rId7"/>
  </sheets>
  <externalReferences>
    <externalReference r:id="rId8"/>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81" i="6" l="1"/>
  <c r="D69" i="6" l="1"/>
  <c r="D68" i="6"/>
  <c r="E4" i="8" l="1"/>
  <c r="I4" i="8"/>
  <c r="G4" i="8"/>
  <c r="E79" i="6" l="1"/>
  <c r="D60" i="6"/>
  <c r="D57" i="6"/>
  <c r="D65" i="6" s="1"/>
  <c r="D67" i="6" l="1"/>
  <c r="D59" i="6"/>
  <c r="D45" i="6"/>
  <c r="D47" i="6" s="1"/>
  <c r="D19" i="6"/>
  <c r="D73" i="6" l="1"/>
  <c r="D46" i="6"/>
  <c r="D21" i="6"/>
  <c r="F14" i="6"/>
  <c r="G14" i="6" l="1"/>
  <c r="H14" i="6" s="1"/>
  <c r="I14" i="6" s="1"/>
  <c r="J14" i="6" s="1"/>
  <c r="L45" i="5"/>
  <c r="L44" i="5"/>
  <c r="L43" i="5"/>
  <c r="L42" i="5"/>
  <c r="J42" i="5"/>
  <c r="I42" i="5"/>
  <c r="I45" i="5" s="1"/>
  <c r="T40" i="5"/>
  <c r="L40" i="5"/>
  <c r="T39" i="5"/>
  <c r="L39" i="5"/>
  <c r="T38" i="5"/>
  <c r="L38" i="5"/>
  <c r="T37" i="5"/>
  <c r="R37" i="5"/>
  <c r="Q37" i="5"/>
  <c r="L37" i="5"/>
  <c r="J37" i="5"/>
  <c r="I37" i="5"/>
  <c r="I39" i="5" s="1"/>
  <c r="T35" i="5"/>
  <c r="L35" i="5"/>
  <c r="T34" i="5"/>
  <c r="L34" i="5"/>
  <c r="T33" i="5"/>
  <c r="L33" i="5"/>
  <c r="T32" i="5"/>
  <c r="R32" i="5"/>
  <c r="Q32" i="5"/>
  <c r="Q34" i="5" s="1"/>
  <c r="L32" i="5"/>
  <c r="J32" i="5"/>
  <c r="I32" i="5"/>
  <c r="I34" i="5" s="1"/>
  <c r="T25" i="5"/>
  <c r="L25" i="5"/>
  <c r="T24" i="5"/>
  <c r="L24" i="5"/>
  <c r="T23" i="5"/>
  <c r="L23" i="5"/>
  <c r="T22" i="5"/>
  <c r="R22" i="5"/>
  <c r="Q22" i="5"/>
  <c r="L22" i="5"/>
  <c r="J22" i="5"/>
  <c r="I22" i="5"/>
  <c r="I24" i="5" s="1"/>
  <c r="T20" i="5"/>
  <c r="L20" i="5"/>
  <c r="T19" i="5"/>
  <c r="L19" i="5"/>
  <c r="T18" i="5"/>
  <c r="L18" i="5"/>
  <c r="T17" i="5"/>
  <c r="R17" i="5"/>
  <c r="R18" i="5" s="1"/>
  <c r="Q17" i="5"/>
  <c r="L17" i="5"/>
  <c r="J17" i="5"/>
  <c r="I17" i="5"/>
  <c r="T15" i="5"/>
  <c r="L15" i="5"/>
  <c r="T14" i="5"/>
  <c r="L14" i="5"/>
  <c r="T13" i="5"/>
  <c r="L13" i="5"/>
  <c r="T12" i="5"/>
  <c r="R12" i="5"/>
  <c r="R15" i="5" s="1"/>
  <c r="Q12" i="5"/>
  <c r="L12" i="5"/>
  <c r="J12" i="5"/>
  <c r="I12" i="5"/>
  <c r="I14" i="5" s="1"/>
  <c r="T10" i="5"/>
  <c r="T9" i="5"/>
  <c r="T8" i="5"/>
  <c r="T7" i="5"/>
  <c r="R7" i="5"/>
  <c r="Q7" i="5"/>
  <c r="Q10" i="5" s="1"/>
  <c r="S25" i="4"/>
  <c r="L25" i="4"/>
  <c r="S24" i="4"/>
  <c r="L24" i="4"/>
  <c r="S23" i="4"/>
  <c r="L23" i="4"/>
  <c r="S22" i="4"/>
  <c r="Q22" i="4"/>
  <c r="P22" i="4"/>
  <c r="L22" i="4"/>
  <c r="J22" i="4"/>
  <c r="I22" i="4"/>
  <c r="I25" i="4" s="1"/>
  <c r="L20" i="4"/>
  <c r="L19" i="4"/>
  <c r="L18" i="4"/>
  <c r="L17" i="4"/>
  <c r="J17" i="4"/>
  <c r="I17" i="4"/>
  <c r="I18" i="4" s="1"/>
  <c r="L15" i="4"/>
  <c r="L14" i="4"/>
  <c r="L13" i="4"/>
  <c r="L12" i="4"/>
  <c r="J12" i="4"/>
  <c r="I12" i="4"/>
  <c r="I13" i="4" s="1"/>
  <c r="L10" i="4"/>
  <c r="L9" i="4"/>
  <c r="L8" i="4"/>
  <c r="L7" i="4"/>
  <c r="J7" i="4"/>
  <c r="I7" i="4"/>
  <c r="I8" i="4" s="1"/>
  <c r="S45" i="3"/>
  <c r="S44" i="3"/>
  <c r="S43" i="3"/>
  <c r="S42" i="3"/>
  <c r="Q42" i="3"/>
  <c r="P42" i="3"/>
  <c r="P43" i="3" s="1"/>
  <c r="S40" i="3"/>
  <c r="S39" i="3"/>
  <c r="S38" i="3"/>
  <c r="S37" i="3"/>
  <c r="Q37" i="3"/>
  <c r="P37" i="3"/>
  <c r="P38" i="3" s="1"/>
  <c r="S35" i="3"/>
  <c r="S34" i="3"/>
  <c r="S33" i="3"/>
  <c r="S32" i="3"/>
  <c r="Q32" i="3"/>
  <c r="P32" i="3"/>
  <c r="P33" i="3" s="1"/>
  <c r="S30" i="3"/>
  <c r="S29" i="3"/>
  <c r="S28" i="3"/>
  <c r="S27" i="3"/>
  <c r="Q27" i="3"/>
  <c r="P27" i="3"/>
  <c r="P28" i="3" s="1"/>
  <c r="S25" i="3"/>
  <c r="L25" i="3"/>
  <c r="S24" i="3"/>
  <c r="L24" i="3"/>
  <c r="S23" i="3"/>
  <c r="L23" i="3"/>
  <c r="S22" i="3"/>
  <c r="Q22" i="3"/>
  <c r="Q24" i="3" s="1"/>
  <c r="P22" i="3"/>
  <c r="P24" i="3" s="1"/>
  <c r="L22" i="3"/>
  <c r="J22" i="3"/>
  <c r="J23" i="3" s="1"/>
  <c r="I22" i="3"/>
  <c r="I24" i="3" s="1"/>
  <c r="S20" i="3"/>
  <c r="L20" i="3"/>
  <c r="S19" i="3"/>
  <c r="L19" i="3"/>
  <c r="S18" i="3"/>
  <c r="L18" i="3"/>
  <c r="S17" i="3"/>
  <c r="Q17" i="3"/>
  <c r="Q19" i="3" s="1"/>
  <c r="P17" i="3"/>
  <c r="P19" i="3" s="1"/>
  <c r="L17" i="3"/>
  <c r="J17" i="3"/>
  <c r="I17" i="3"/>
  <c r="I19" i="3" s="1"/>
  <c r="S15" i="3"/>
  <c r="L15" i="3"/>
  <c r="S14" i="3"/>
  <c r="L14" i="3"/>
  <c r="S13" i="3"/>
  <c r="L13" i="3"/>
  <c r="S12" i="3"/>
  <c r="Q12" i="3"/>
  <c r="Q14" i="3" s="1"/>
  <c r="P12" i="3"/>
  <c r="P14" i="3" s="1"/>
  <c r="L12" i="3"/>
  <c r="J12" i="3"/>
  <c r="J13" i="3" s="1"/>
  <c r="N13" i="3" s="1"/>
  <c r="I12" i="3"/>
  <c r="S10" i="3"/>
  <c r="L10" i="3"/>
  <c r="S9" i="3"/>
  <c r="L9" i="3"/>
  <c r="S8" i="3"/>
  <c r="L8" i="3"/>
  <c r="S7" i="3"/>
  <c r="Q7" i="3"/>
  <c r="Q9" i="3" s="1"/>
  <c r="P7" i="3"/>
  <c r="L7" i="3"/>
  <c r="J7" i="3"/>
  <c r="J10" i="3" s="1"/>
  <c r="N10" i="3" s="1"/>
  <c r="I7" i="3"/>
  <c r="A13" i="3" s="1"/>
  <c r="L96" i="2"/>
  <c r="L95" i="2"/>
  <c r="L94" i="2"/>
  <c r="L93" i="2"/>
  <c r="N93" i="2" s="1"/>
  <c r="J93" i="2"/>
  <c r="I93" i="2"/>
  <c r="I94" i="2" s="1"/>
  <c r="L91" i="2"/>
  <c r="L90" i="2"/>
  <c r="L89" i="2"/>
  <c r="L88" i="2"/>
  <c r="J88" i="2"/>
  <c r="I88" i="2"/>
  <c r="L86" i="2"/>
  <c r="L85" i="2"/>
  <c r="L84" i="2"/>
  <c r="L83" i="2"/>
  <c r="J83" i="2"/>
  <c r="I83" i="2"/>
  <c r="L81" i="2"/>
  <c r="L80" i="2"/>
  <c r="L79" i="2"/>
  <c r="L78" i="2"/>
  <c r="J78" i="2"/>
  <c r="N78" i="2" s="1"/>
  <c r="I78" i="2"/>
  <c r="S76" i="2"/>
  <c r="L76" i="2"/>
  <c r="S75" i="2"/>
  <c r="L75" i="2"/>
  <c r="S74" i="2"/>
  <c r="L74" i="2"/>
  <c r="S73" i="2"/>
  <c r="Q73" i="2"/>
  <c r="Q76" i="2" s="1"/>
  <c r="P73" i="2"/>
  <c r="P75" i="2" s="1"/>
  <c r="L73" i="2"/>
  <c r="J73" i="2"/>
  <c r="I73" i="2"/>
  <c r="L71" i="2"/>
  <c r="L70" i="2"/>
  <c r="L69" i="2"/>
  <c r="L68" i="2"/>
  <c r="J68" i="2"/>
  <c r="I68" i="2"/>
  <c r="S51" i="2"/>
  <c r="L51" i="2"/>
  <c r="S50" i="2"/>
  <c r="L50" i="2"/>
  <c r="S49" i="2"/>
  <c r="L49" i="2"/>
  <c r="S48" i="2"/>
  <c r="Q48" i="2"/>
  <c r="Q49" i="2" s="1"/>
  <c r="P48" i="2"/>
  <c r="P50" i="2" s="1"/>
  <c r="L48" i="2"/>
  <c r="J48" i="2"/>
  <c r="I48" i="2"/>
  <c r="I50" i="2" s="1"/>
  <c r="S46" i="2"/>
  <c r="L46" i="2"/>
  <c r="S45" i="2"/>
  <c r="L45" i="2"/>
  <c r="S44" i="2"/>
  <c r="L44" i="2"/>
  <c r="S43" i="2"/>
  <c r="Q43" i="2"/>
  <c r="Q46" i="2" s="1"/>
  <c r="P43" i="2"/>
  <c r="L43" i="2"/>
  <c r="J43" i="2"/>
  <c r="J45" i="2" s="1"/>
  <c r="I43" i="2"/>
  <c r="S41" i="2"/>
  <c r="L41" i="2"/>
  <c r="S40" i="2"/>
  <c r="L40" i="2"/>
  <c r="S39" i="2"/>
  <c r="L39" i="2"/>
  <c r="S38" i="2"/>
  <c r="Q38" i="2"/>
  <c r="Q40" i="2" s="1"/>
  <c r="P38" i="2"/>
  <c r="P40" i="2" s="1"/>
  <c r="L38" i="2"/>
  <c r="J38" i="2"/>
  <c r="I38" i="2"/>
  <c r="L36" i="2"/>
  <c r="L35" i="2"/>
  <c r="L34" i="2"/>
  <c r="L33" i="2"/>
  <c r="J33" i="2"/>
  <c r="I33" i="2"/>
  <c r="L31" i="2"/>
  <c r="L30" i="2"/>
  <c r="L29" i="2"/>
  <c r="L28" i="2"/>
  <c r="J28" i="2"/>
  <c r="I28" i="2"/>
  <c r="L26" i="2"/>
  <c r="L25" i="2"/>
  <c r="L24" i="2"/>
  <c r="L23" i="2"/>
  <c r="J23" i="2"/>
  <c r="I23" i="2"/>
  <c r="L11" i="2"/>
  <c r="L10" i="2"/>
  <c r="L9" i="2"/>
  <c r="L8" i="2"/>
  <c r="J8" i="2"/>
  <c r="I8" i="2"/>
  <c r="S99" i="1"/>
  <c r="S98" i="1"/>
  <c r="S97" i="1"/>
  <c r="S96" i="1"/>
  <c r="Q96" i="1"/>
  <c r="P96" i="1"/>
  <c r="S94" i="1"/>
  <c r="S93" i="1"/>
  <c r="S92" i="1"/>
  <c r="S91" i="1"/>
  <c r="Q91" i="1"/>
  <c r="P91" i="1"/>
  <c r="S89" i="1"/>
  <c r="S88" i="1"/>
  <c r="S87" i="1"/>
  <c r="S86" i="1"/>
  <c r="Q86" i="1"/>
  <c r="P86" i="1"/>
  <c r="S84" i="1"/>
  <c r="S83" i="1"/>
  <c r="S82" i="1"/>
  <c r="S81" i="1"/>
  <c r="Q81" i="1"/>
  <c r="P81" i="1"/>
  <c r="L79" i="1"/>
  <c r="L78" i="1"/>
  <c r="L77" i="1"/>
  <c r="L76" i="1"/>
  <c r="J76" i="1"/>
  <c r="I76" i="1"/>
  <c r="S74" i="1"/>
  <c r="S73" i="1"/>
  <c r="S72" i="1"/>
  <c r="S71" i="1"/>
  <c r="Q71" i="1"/>
  <c r="P71" i="1"/>
  <c r="L54" i="1"/>
  <c r="L53" i="1"/>
  <c r="L52" i="1"/>
  <c r="L51" i="1"/>
  <c r="J51" i="1"/>
  <c r="I51" i="1"/>
  <c r="S49" i="1"/>
  <c r="L49" i="1"/>
  <c r="S48" i="1"/>
  <c r="L48" i="1"/>
  <c r="S47" i="1"/>
  <c r="L47" i="1"/>
  <c r="S46" i="1"/>
  <c r="Q46" i="1"/>
  <c r="Q48" i="1" s="1"/>
  <c r="P46" i="1"/>
  <c r="L46" i="1"/>
  <c r="J46" i="1"/>
  <c r="J48" i="1" s="1"/>
  <c r="I46" i="1"/>
  <c r="I48" i="1" s="1"/>
  <c r="S44" i="1"/>
  <c r="L44" i="1"/>
  <c r="S43" i="1"/>
  <c r="L43" i="1"/>
  <c r="S42" i="1"/>
  <c r="L42" i="1"/>
  <c r="S41" i="1"/>
  <c r="Q41" i="1"/>
  <c r="Q43" i="1" s="1"/>
  <c r="P41" i="1"/>
  <c r="P44" i="1" s="1"/>
  <c r="L41" i="1"/>
  <c r="J41" i="1"/>
  <c r="I41" i="1"/>
  <c r="I43" i="1" s="1"/>
  <c r="S34" i="1"/>
  <c r="L34" i="1"/>
  <c r="S33" i="1"/>
  <c r="L33" i="1"/>
  <c r="S32" i="1"/>
  <c r="L32" i="1"/>
  <c r="S31" i="1"/>
  <c r="Q31" i="1"/>
  <c r="Q33" i="1" s="1"/>
  <c r="P31" i="1"/>
  <c r="P33" i="1" s="1"/>
  <c r="L31" i="1"/>
  <c r="J31" i="1"/>
  <c r="J33" i="1" s="1"/>
  <c r="I31" i="1"/>
  <c r="S29" i="1"/>
  <c r="L29" i="1"/>
  <c r="S28" i="1"/>
  <c r="L28" i="1"/>
  <c r="S27" i="1"/>
  <c r="L27" i="1"/>
  <c r="S26" i="1"/>
  <c r="Q26" i="1"/>
  <c r="Q28" i="1" s="1"/>
  <c r="P26" i="1"/>
  <c r="L26" i="1"/>
  <c r="J26" i="1"/>
  <c r="N26" i="1" s="1"/>
  <c r="I26" i="1"/>
  <c r="S19" i="1"/>
  <c r="S18" i="1"/>
  <c r="S17" i="1"/>
  <c r="S16" i="1"/>
  <c r="Q16" i="1"/>
  <c r="Q18" i="1" s="1"/>
  <c r="P16" i="1"/>
  <c r="P18" i="1" s="1"/>
  <c r="S14" i="1"/>
  <c r="L14" i="1"/>
  <c r="S13" i="1"/>
  <c r="L13" i="1"/>
  <c r="S12" i="1"/>
  <c r="L12" i="1"/>
  <c r="S11" i="1"/>
  <c r="Q11" i="1"/>
  <c r="Q13" i="1" s="1"/>
  <c r="P11" i="1"/>
  <c r="P13" i="1" s="1"/>
  <c r="L11" i="1"/>
  <c r="J11" i="1"/>
  <c r="I11" i="1"/>
  <c r="U41" i="1" l="1"/>
  <c r="I8" i="8" s="1"/>
  <c r="N33" i="1"/>
  <c r="I13" i="1"/>
  <c r="A14" i="3"/>
  <c r="A15" i="3" s="1"/>
  <c r="A19" i="3" s="1"/>
  <c r="U13" i="1"/>
  <c r="Q23" i="3"/>
  <c r="U23" i="3" s="1"/>
  <c r="V32" i="5"/>
  <c r="U71" i="1"/>
  <c r="U91" i="1"/>
  <c r="N12" i="5"/>
  <c r="Q19" i="1"/>
  <c r="U19" i="1" s="1"/>
  <c r="U49" i="2"/>
  <c r="J15" i="3"/>
  <c r="N15" i="3" s="1"/>
  <c r="N83" i="2"/>
  <c r="I23" i="5"/>
  <c r="P18" i="3"/>
  <c r="U28" i="1"/>
  <c r="U18" i="1"/>
  <c r="N51" i="1"/>
  <c r="U86" i="1"/>
  <c r="U46" i="2"/>
  <c r="K17" i="3"/>
  <c r="K19" i="3" s="1"/>
  <c r="Q25" i="3"/>
  <c r="U25" i="3" s="1"/>
  <c r="R26" i="1"/>
  <c r="U81" i="1"/>
  <c r="N8" i="2"/>
  <c r="N38" i="2"/>
  <c r="U22" i="4"/>
  <c r="V7" i="5"/>
  <c r="D15" i="6"/>
  <c r="Q10" i="3"/>
  <c r="P15" i="3"/>
  <c r="N23" i="3"/>
  <c r="U7" i="3"/>
  <c r="P13" i="3"/>
  <c r="Q18" i="3"/>
  <c r="U18" i="3" s="1"/>
  <c r="I21" i="8" s="1"/>
  <c r="N22" i="3"/>
  <c r="J25" i="3"/>
  <c r="N25" i="3" s="1"/>
  <c r="N7" i="3"/>
  <c r="U17" i="3"/>
  <c r="I20" i="8" s="1"/>
  <c r="N12" i="3"/>
  <c r="P25" i="3"/>
  <c r="N33" i="2"/>
  <c r="N23" i="2"/>
  <c r="N48" i="1"/>
  <c r="N76" i="1"/>
  <c r="U96" i="1"/>
  <c r="U11" i="1"/>
  <c r="U46" i="1"/>
  <c r="P19" i="1"/>
  <c r="Q44" i="1"/>
  <c r="U44" i="1" s="1"/>
  <c r="I11" i="8" s="1"/>
  <c r="I38" i="5"/>
  <c r="R19" i="5"/>
  <c r="I33" i="5"/>
  <c r="N17" i="5"/>
  <c r="G33" i="8" s="1"/>
  <c r="V37" i="5"/>
  <c r="I38" i="8" s="1"/>
  <c r="N11" i="1"/>
  <c r="U31" i="1"/>
  <c r="U43" i="1"/>
  <c r="I10" i="8" s="1"/>
  <c r="P43" i="1"/>
  <c r="Q8" i="3"/>
  <c r="U8" i="3" s="1"/>
  <c r="U19" i="3"/>
  <c r="I22" i="8" s="1"/>
  <c r="Q20" i="3"/>
  <c r="U20" i="3" s="1"/>
  <c r="I23" i="8" s="1"/>
  <c r="R22" i="3"/>
  <c r="I23" i="4"/>
  <c r="Q25" i="4"/>
  <c r="U25" i="4" s="1"/>
  <c r="V12" i="5"/>
  <c r="V17" i="5"/>
  <c r="I33" i="8" s="1"/>
  <c r="N17" i="3"/>
  <c r="G20" i="8" s="1"/>
  <c r="E20" i="8" s="1"/>
  <c r="U33" i="1"/>
  <c r="U16" i="1"/>
  <c r="Q27" i="1"/>
  <c r="U27" i="1" s="1"/>
  <c r="Q34" i="1"/>
  <c r="U34" i="1" s="1"/>
  <c r="R41" i="1"/>
  <c r="R43" i="1" s="1"/>
  <c r="U48" i="1"/>
  <c r="Q49" i="1"/>
  <c r="U49" i="1" s="1"/>
  <c r="U40" i="2"/>
  <c r="Q44" i="2"/>
  <c r="U44" i="2" s="1"/>
  <c r="R17" i="3"/>
  <c r="U22" i="3"/>
  <c r="K37" i="5"/>
  <c r="K39" i="5" s="1"/>
  <c r="K20" i="3"/>
  <c r="Q32" i="1"/>
  <c r="U32" i="1" s="1"/>
  <c r="N28" i="2"/>
  <c r="N45" i="2"/>
  <c r="Q15" i="3"/>
  <c r="U15" i="3" s="1"/>
  <c r="Q23" i="4"/>
  <c r="U23" i="4" s="1"/>
  <c r="R13" i="5"/>
  <c r="I43" i="5"/>
  <c r="U76" i="2"/>
  <c r="U26" i="1"/>
  <c r="R31" i="1"/>
  <c r="R34" i="1" s="1"/>
  <c r="U73" i="2"/>
  <c r="P20" i="3"/>
  <c r="Q13" i="3"/>
  <c r="R13" i="3" s="1"/>
  <c r="J18" i="3"/>
  <c r="N18" i="3" s="1"/>
  <c r="G21" i="8" s="1"/>
  <c r="R12" i="3"/>
  <c r="Q29" i="1"/>
  <c r="U29" i="1" s="1"/>
  <c r="N31" i="1"/>
  <c r="Q42" i="1"/>
  <c r="U42" i="1" s="1"/>
  <c r="I9" i="8" s="1"/>
  <c r="Q47" i="1"/>
  <c r="U47" i="1" s="1"/>
  <c r="N43" i="2"/>
  <c r="N88" i="2"/>
  <c r="K18" i="3"/>
  <c r="J20" i="3"/>
  <c r="N20" i="3" s="1"/>
  <c r="G23" i="8" s="1"/>
  <c r="E23" i="8" s="1"/>
  <c r="P23" i="3"/>
  <c r="I24" i="4"/>
  <c r="I25" i="5"/>
  <c r="I35" i="5"/>
  <c r="I40" i="5"/>
  <c r="I44" i="5"/>
  <c r="Q39" i="2"/>
  <c r="U39" i="2" s="1"/>
  <c r="R48" i="2"/>
  <c r="R50" i="2" s="1"/>
  <c r="U48" i="2"/>
  <c r="Q74" i="2"/>
  <c r="U74" i="2" s="1"/>
  <c r="U38" i="2"/>
  <c r="Q41" i="2"/>
  <c r="U41" i="2" s="1"/>
  <c r="U43" i="2"/>
  <c r="Q51" i="2"/>
  <c r="U51" i="2" s="1"/>
  <c r="R29" i="1"/>
  <c r="R28" i="1"/>
  <c r="R27" i="1"/>
  <c r="P12" i="1"/>
  <c r="P14" i="1"/>
  <c r="J44" i="1"/>
  <c r="N44" i="1" s="1"/>
  <c r="G11" i="8" s="1"/>
  <c r="K41" i="1"/>
  <c r="J42" i="1"/>
  <c r="N42" i="1" s="1"/>
  <c r="G9" i="8" s="1"/>
  <c r="P49" i="1"/>
  <c r="P47" i="1"/>
  <c r="R46" i="1"/>
  <c r="J51" i="2"/>
  <c r="N51" i="2" s="1"/>
  <c r="J49" i="2"/>
  <c r="N49" i="2" s="1"/>
  <c r="K48" i="2"/>
  <c r="I71" i="2"/>
  <c r="I70" i="2"/>
  <c r="I76" i="2"/>
  <c r="I74" i="2"/>
  <c r="U10" i="3"/>
  <c r="R25" i="3"/>
  <c r="R23" i="3"/>
  <c r="P25" i="4"/>
  <c r="P23" i="4"/>
  <c r="V13" i="5"/>
  <c r="V18" i="5"/>
  <c r="I34" i="8" s="1"/>
  <c r="Q12" i="1"/>
  <c r="U12" i="1" s="1"/>
  <c r="P29" i="1"/>
  <c r="J43" i="1"/>
  <c r="N43" i="1" s="1"/>
  <c r="G10" i="8" s="1"/>
  <c r="E10" i="8" s="1"/>
  <c r="P74" i="1"/>
  <c r="P73" i="1"/>
  <c r="I79" i="1"/>
  <c r="I78" i="1"/>
  <c r="P84" i="1"/>
  <c r="P83" i="1"/>
  <c r="P94" i="1"/>
  <c r="P93" i="1"/>
  <c r="P99" i="1"/>
  <c r="P98" i="1"/>
  <c r="I26" i="2"/>
  <c r="I25" i="2"/>
  <c r="I31" i="2"/>
  <c r="I30" i="2"/>
  <c r="I36" i="2"/>
  <c r="I35" i="2"/>
  <c r="I41" i="2"/>
  <c r="I39" i="2"/>
  <c r="J50" i="2"/>
  <c r="N50" i="2" s="1"/>
  <c r="J76" i="2"/>
  <c r="N76" i="2" s="1"/>
  <c r="J74" i="2"/>
  <c r="N74" i="2" s="1"/>
  <c r="K73" i="2"/>
  <c r="I86" i="2"/>
  <c r="I85" i="2"/>
  <c r="I91" i="2"/>
  <c r="I90" i="2"/>
  <c r="I89" i="2"/>
  <c r="I10" i="3"/>
  <c r="I8" i="3"/>
  <c r="R19" i="3"/>
  <c r="P30" i="3"/>
  <c r="P29" i="3"/>
  <c r="P35" i="3"/>
  <c r="P34" i="3"/>
  <c r="P45" i="3"/>
  <c r="P44" i="3"/>
  <c r="I10" i="4"/>
  <c r="I9" i="4"/>
  <c r="I20" i="4"/>
  <c r="I19" i="4"/>
  <c r="Q8" i="5"/>
  <c r="Q17" i="1"/>
  <c r="U17" i="1" s="1"/>
  <c r="R16" i="1"/>
  <c r="P28" i="1"/>
  <c r="Q73" i="1"/>
  <c r="U73" i="1" s="1"/>
  <c r="Q72" i="1"/>
  <c r="U72" i="1" s="1"/>
  <c r="R71" i="1"/>
  <c r="Q74" i="1"/>
  <c r="U74" i="1" s="1"/>
  <c r="Q83" i="1"/>
  <c r="U83" i="1" s="1"/>
  <c r="Q82" i="1"/>
  <c r="U82" i="1" s="1"/>
  <c r="R81" i="1"/>
  <c r="Q84" i="1"/>
  <c r="U84" i="1" s="1"/>
  <c r="Q93" i="1"/>
  <c r="U93" i="1" s="1"/>
  <c r="Q92" i="1"/>
  <c r="U92" i="1" s="1"/>
  <c r="R91" i="1"/>
  <c r="Q94" i="1"/>
  <c r="U94" i="1" s="1"/>
  <c r="J10" i="2"/>
  <c r="N10" i="2" s="1"/>
  <c r="J9" i="2"/>
  <c r="N9" i="2" s="1"/>
  <c r="K8" i="2"/>
  <c r="J11" i="2"/>
  <c r="N11" i="2" s="1"/>
  <c r="J30" i="2"/>
  <c r="N30" i="2" s="1"/>
  <c r="J29" i="2"/>
  <c r="N29" i="2" s="1"/>
  <c r="K28" i="2"/>
  <c r="J35" i="2"/>
  <c r="N35" i="2" s="1"/>
  <c r="J34" i="2"/>
  <c r="N34" i="2" s="1"/>
  <c r="K33" i="2"/>
  <c r="J36" i="2"/>
  <c r="N36" i="2" s="1"/>
  <c r="J41" i="2"/>
  <c r="N41" i="2" s="1"/>
  <c r="J39" i="2"/>
  <c r="N39" i="2" s="1"/>
  <c r="K38" i="2"/>
  <c r="I40" i="2"/>
  <c r="I46" i="2"/>
  <c r="I44" i="2"/>
  <c r="P46" i="2"/>
  <c r="P44" i="2"/>
  <c r="N48" i="2"/>
  <c r="J75" i="2"/>
  <c r="N75" i="2" s="1"/>
  <c r="J80" i="2"/>
  <c r="N80" i="2" s="1"/>
  <c r="J79" i="2"/>
  <c r="N79" i="2" s="1"/>
  <c r="K78" i="2"/>
  <c r="J81" i="2"/>
  <c r="N81" i="2" s="1"/>
  <c r="J85" i="2"/>
  <c r="N85" i="2" s="1"/>
  <c r="J84" i="2"/>
  <c r="N84" i="2" s="1"/>
  <c r="K83" i="2"/>
  <c r="J86" i="2"/>
  <c r="N86" i="2" s="1"/>
  <c r="J90" i="2"/>
  <c r="N90" i="2" s="1"/>
  <c r="J89" i="2"/>
  <c r="N89" i="2" s="1"/>
  <c r="K88" i="2"/>
  <c r="J91" i="2"/>
  <c r="N91" i="2" s="1"/>
  <c r="J95" i="2"/>
  <c r="N95" i="2" s="1"/>
  <c r="J94" i="2"/>
  <c r="N94" i="2" s="1"/>
  <c r="K93" i="2"/>
  <c r="J96" i="2"/>
  <c r="N96" i="2" s="1"/>
  <c r="J9" i="3"/>
  <c r="N9" i="3" s="1"/>
  <c r="J8" i="3"/>
  <c r="N8" i="3" s="1"/>
  <c r="K7" i="3"/>
  <c r="I9" i="3"/>
  <c r="I15" i="3"/>
  <c r="I13" i="3"/>
  <c r="I14" i="3"/>
  <c r="R24" i="3"/>
  <c r="Q29" i="3"/>
  <c r="U29" i="3" s="1"/>
  <c r="Q28" i="3"/>
  <c r="U28" i="3" s="1"/>
  <c r="R27" i="3"/>
  <c r="U27" i="3"/>
  <c r="Q30" i="3"/>
  <c r="U30" i="3" s="1"/>
  <c r="Q34" i="3"/>
  <c r="U34" i="3" s="1"/>
  <c r="Q33" i="3"/>
  <c r="U33" i="3" s="1"/>
  <c r="R32" i="3"/>
  <c r="U32" i="3"/>
  <c r="Q35" i="3"/>
  <c r="U35" i="3" s="1"/>
  <c r="Q39" i="3"/>
  <c r="U39" i="3" s="1"/>
  <c r="Q38" i="3"/>
  <c r="U38" i="3" s="1"/>
  <c r="R37" i="3"/>
  <c r="U37" i="3"/>
  <c r="Q40" i="3"/>
  <c r="U40" i="3" s="1"/>
  <c r="Q44" i="3"/>
  <c r="U44" i="3" s="1"/>
  <c r="Q43" i="3"/>
  <c r="U43" i="3" s="1"/>
  <c r="R42" i="3"/>
  <c r="U42" i="3"/>
  <c r="Q45" i="3"/>
  <c r="U45" i="3" s="1"/>
  <c r="J9" i="4"/>
  <c r="N9" i="4" s="1"/>
  <c r="J8" i="4"/>
  <c r="N8" i="4" s="1"/>
  <c r="K7" i="4"/>
  <c r="N7" i="4"/>
  <c r="J10" i="4"/>
  <c r="N10" i="4" s="1"/>
  <c r="J14" i="4"/>
  <c r="N14" i="4" s="1"/>
  <c r="J13" i="4"/>
  <c r="N13" i="4" s="1"/>
  <c r="K12" i="4"/>
  <c r="K13" i="4" s="1"/>
  <c r="K14" i="4" s="1"/>
  <c r="K15" i="4" s="1"/>
  <c r="N12" i="4"/>
  <c r="J15" i="4"/>
  <c r="N15" i="4" s="1"/>
  <c r="J19" i="4"/>
  <c r="N19" i="4" s="1"/>
  <c r="J18" i="4"/>
  <c r="N18" i="4" s="1"/>
  <c r="K17" i="4"/>
  <c r="N17" i="4"/>
  <c r="J20" i="4"/>
  <c r="N20" i="4" s="1"/>
  <c r="J25" i="4"/>
  <c r="N25" i="4" s="1"/>
  <c r="J23" i="4"/>
  <c r="N23" i="4" s="1"/>
  <c r="K22" i="4"/>
  <c r="N22" i="4"/>
  <c r="J24" i="4"/>
  <c r="N24" i="4" s="1"/>
  <c r="Q15" i="5"/>
  <c r="S15" i="5" s="1"/>
  <c r="Q13" i="5"/>
  <c r="S13" i="5" s="1"/>
  <c r="Q14" i="5"/>
  <c r="I13" i="5"/>
  <c r="I15" i="5"/>
  <c r="J25" i="5"/>
  <c r="N25" i="5" s="1"/>
  <c r="J23" i="5"/>
  <c r="N23" i="5" s="1"/>
  <c r="N22" i="5"/>
  <c r="K22" i="5"/>
  <c r="J24" i="5"/>
  <c r="N24" i="5" s="1"/>
  <c r="I49" i="1"/>
  <c r="I47" i="1"/>
  <c r="I69" i="2"/>
  <c r="P76" i="2"/>
  <c r="P74" i="2"/>
  <c r="V15" i="5"/>
  <c r="K11" i="1"/>
  <c r="J12" i="1"/>
  <c r="N12" i="1" s="1"/>
  <c r="J14" i="1"/>
  <c r="N14" i="1" s="1"/>
  <c r="Q14" i="1"/>
  <c r="U14" i="1" s="1"/>
  <c r="P17" i="1"/>
  <c r="I29" i="1"/>
  <c r="I27" i="1"/>
  <c r="P27" i="1"/>
  <c r="J49" i="1"/>
  <c r="N49" i="1" s="1"/>
  <c r="J47" i="1"/>
  <c r="N47" i="1" s="1"/>
  <c r="K46" i="1"/>
  <c r="P48" i="1"/>
  <c r="I54" i="1"/>
  <c r="I53" i="1"/>
  <c r="I52" i="1"/>
  <c r="P72" i="1"/>
  <c r="I77" i="1"/>
  <c r="P82" i="1"/>
  <c r="P89" i="1"/>
  <c r="P88" i="1"/>
  <c r="P87" i="1"/>
  <c r="P92" i="1"/>
  <c r="P97" i="1"/>
  <c r="I11" i="2"/>
  <c r="I10" i="2"/>
  <c r="I9" i="2"/>
  <c r="I24" i="2"/>
  <c r="I29" i="2"/>
  <c r="I34" i="2"/>
  <c r="P41" i="2"/>
  <c r="P39" i="2"/>
  <c r="R38" i="2"/>
  <c r="J70" i="2"/>
  <c r="N70" i="2" s="1"/>
  <c r="J69" i="2"/>
  <c r="N69" i="2" s="1"/>
  <c r="K68" i="2"/>
  <c r="J71" i="2"/>
  <c r="N71" i="2" s="1"/>
  <c r="R73" i="2"/>
  <c r="I75" i="2"/>
  <c r="I81" i="2"/>
  <c r="I80" i="2"/>
  <c r="I79" i="2"/>
  <c r="I84" i="2"/>
  <c r="I96" i="2"/>
  <c r="I95" i="2"/>
  <c r="P9" i="3"/>
  <c r="R9" i="3" s="1"/>
  <c r="P8" i="3"/>
  <c r="P40" i="3"/>
  <c r="P39" i="3"/>
  <c r="I15" i="4"/>
  <c r="I14" i="4"/>
  <c r="R11" i="1"/>
  <c r="J13" i="1"/>
  <c r="N13" i="1" s="1"/>
  <c r="K26" i="1"/>
  <c r="J27" i="1"/>
  <c r="N27" i="1" s="1"/>
  <c r="I28" i="1"/>
  <c r="J29" i="1"/>
  <c r="N29" i="1" s="1"/>
  <c r="I34" i="1"/>
  <c r="I32" i="1"/>
  <c r="P32" i="1"/>
  <c r="P34" i="1"/>
  <c r="N41" i="1"/>
  <c r="J53" i="1"/>
  <c r="N53" i="1" s="1"/>
  <c r="J52" i="1"/>
  <c r="N52" i="1" s="1"/>
  <c r="K51" i="1"/>
  <c r="J54" i="1"/>
  <c r="N54" i="1" s="1"/>
  <c r="J78" i="1"/>
  <c r="N78" i="1" s="1"/>
  <c r="J77" i="1"/>
  <c r="N77" i="1" s="1"/>
  <c r="K76" i="1"/>
  <c r="J79" i="1"/>
  <c r="N79" i="1" s="1"/>
  <c r="Q88" i="1"/>
  <c r="U88" i="1" s="1"/>
  <c r="Q87" i="1"/>
  <c r="U87" i="1" s="1"/>
  <c r="R86" i="1"/>
  <c r="Q89" i="1"/>
  <c r="U89" i="1" s="1"/>
  <c r="Q98" i="1"/>
  <c r="U98" i="1" s="1"/>
  <c r="Q97" i="1"/>
  <c r="U97" i="1" s="1"/>
  <c r="R96" i="1"/>
  <c r="Q99" i="1"/>
  <c r="U99" i="1" s="1"/>
  <c r="J25" i="2"/>
  <c r="N25" i="2" s="1"/>
  <c r="J24" i="2"/>
  <c r="N24" i="2" s="1"/>
  <c r="K23" i="2"/>
  <c r="J26" i="2"/>
  <c r="N26" i="2" s="1"/>
  <c r="J31" i="2"/>
  <c r="N31" i="2" s="1"/>
  <c r="I14" i="1"/>
  <c r="I12" i="1"/>
  <c r="J28" i="1"/>
  <c r="N28" i="1" s="1"/>
  <c r="K31" i="1"/>
  <c r="J32" i="1"/>
  <c r="N32" i="1" s="1"/>
  <c r="I33" i="1"/>
  <c r="J34" i="1"/>
  <c r="N34" i="1" s="1"/>
  <c r="I44" i="1"/>
  <c r="I42" i="1"/>
  <c r="P42" i="1"/>
  <c r="N46" i="1"/>
  <c r="J40" i="2"/>
  <c r="N40" i="2" s="1"/>
  <c r="J46" i="2"/>
  <c r="N46" i="2" s="1"/>
  <c r="J44" i="2"/>
  <c r="N44" i="2" s="1"/>
  <c r="K43" i="2"/>
  <c r="R43" i="2"/>
  <c r="I45" i="2"/>
  <c r="P45" i="2"/>
  <c r="I51" i="2"/>
  <c r="I49" i="2"/>
  <c r="P51" i="2"/>
  <c r="P49" i="2"/>
  <c r="N68" i="2"/>
  <c r="N73" i="2"/>
  <c r="P10" i="3"/>
  <c r="R10" i="3" s="1"/>
  <c r="K12" i="3"/>
  <c r="K13" i="3" s="1"/>
  <c r="K14" i="3" s="1"/>
  <c r="K15" i="3" s="1"/>
  <c r="U14" i="3"/>
  <c r="R14" i="3"/>
  <c r="P24" i="4"/>
  <c r="Q9" i="5"/>
  <c r="Q45" i="2"/>
  <c r="U45" i="2" s="1"/>
  <c r="Q50" i="2"/>
  <c r="U50" i="2" s="1"/>
  <c r="Q75" i="2"/>
  <c r="U75" i="2" s="1"/>
  <c r="U9" i="3"/>
  <c r="I25" i="3"/>
  <c r="I23" i="3"/>
  <c r="R9" i="5"/>
  <c r="V9" i="5" s="1"/>
  <c r="R8" i="5"/>
  <c r="V8" i="5" s="1"/>
  <c r="S7" i="5"/>
  <c r="J15" i="5"/>
  <c r="N15" i="5" s="1"/>
  <c r="J13" i="5"/>
  <c r="N13" i="5" s="1"/>
  <c r="K12" i="5"/>
  <c r="K13" i="5" s="1"/>
  <c r="K14" i="5" s="1"/>
  <c r="K15" i="5" s="1"/>
  <c r="I19" i="5"/>
  <c r="I20" i="5"/>
  <c r="Q20" i="5"/>
  <c r="Q18" i="5"/>
  <c r="S18" i="5" s="1"/>
  <c r="Q19" i="5"/>
  <c r="S19" i="5" s="1"/>
  <c r="I18" i="5"/>
  <c r="V19" i="5"/>
  <c r="I35" i="8" s="1"/>
  <c r="Q25" i="5"/>
  <c r="Q23" i="5"/>
  <c r="Q24" i="5"/>
  <c r="J44" i="5"/>
  <c r="N44" i="5" s="1"/>
  <c r="J45" i="5"/>
  <c r="N45" i="5" s="1"/>
  <c r="N42" i="5"/>
  <c r="J43" i="5"/>
  <c r="N43" i="5" s="1"/>
  <c r="R7" i="3"/>
  <c r="I20" i="3"/>
  <c r="I18" i="3"/>
  <c r="K22" i="3"/>
  <c r="U24" i="3"/>
  <c r="R10" i="5"/>
  <c r="V10" i="5" s="1"/>
  <c r="J14" i="5"/>
  <c r="N14" i="5" s="1"/>
  <c r="J20" i="5"/>
  <c r="N20" i="5" s="1"/>
  <c r="G36" i="8" s="1"/>
  <c r="J18" i="5"/>
  <c r="N18" i="5" s="1"/>
  <c r="G34" i="8" s="1"/>
  <c r="E34" i="8" s="1"/>
  <c r="K17" i="5"/>
  <c r="J19" i="5"/>
  <c r="N19" i="5" s="1"/>
  <c r="G35" i="8" s="1"/>
  <c r="S22" i="5"/>
  <c r="R25" i="5"/>
  <c r="V25" i="5" s="1"/>
  <c r="R23" i="5"/>
  <c r="V23" i="5" s="1"/>
  <c r="V22" i="5"/>
  <c r="R24" i="5"/>
  <c r="V24" i="5" s="1"/>
  <c r="Q35" i="5"/>
  <c r="Q33" i="5"/>
  <c r="K42" i="5"/>
  <c r="U12" i="3"/>
  <c r="J14" i="3"/>
  <c r="N14" i="3" s="1"/>
  <c r="J19" i="3"/>
  <c r="N19" i="3" s="1"/>
  <c r="G22" i="8" s="1"/>
  <c r="J24" i="3"/>
  <c r="N24" i="3" s="1"/>
  <c r="R22" i="4"/>
  <c r="Q24" i="4"/>
  <c r="U24" i="4" s="1"/>
  <c r="S12" i="5"/>
  <c r="R14" i="5"/>
  <c r="S17" i="5"/>
  <c r="R20" i="5"/>
  <c r="J35" i="5"/>
  <c r="N35" i="5" s="1"/>
  <c r="J33" i="5"/>
  <c r="N33" i="5" s="1"/>
  <c r="N32" i="5"/>
  <c r="S32" i="5"/>
  <c r="R35" i="5"/>
  <c r="V35" i="5" s="1"/>
  <c r="R33" i="5"/>
  <c r="V33" i="5" s="1"/>
  <c r="J34" i="5"/>
  <c r="N34" i="5" s="1"/>
  <c r="R34" i="5"/>
  <c r="V34" i="5" s="1"/>
  <c r="Q40" i="5"/>
  <c r="Q38" i="5"/>
  <c r="Q39" i="5"/>
  <c r="K32" i="5"/>
  <c r="J40" i="5"/>
  <c r="N40" i="5" s="1"/>
  <c r="G41" i="8" s="1"/>
  <c r="J38" i="5"/>
  <c r="N38" i="5" s="1"/>
  <c r="G39" i="8" s="1"/>
  <c r="N37" i="5"/>
  <c r="G38" i="8" s="1"/>
  <c r="E38" i="8" s="1"/>
  <c r="S37" i="5"/>
  <c r="R40" i="5"/>
  <c r="V40" i="5" s="1"/>
  <c r="I41" i="8" s="1"/>
  <c r="R38" i="5"/>
  <c r="V38" i="5" s="1"/>
  <c r="I39" i="8" s="1"/>
  <c r="J39" i="5"/>
  <c r="N39" i="5" s="1"/>
  <c r="G40" i="8" s="1"/>
  <c r="E40" i="8" s="1"/>
  <c r="R39" i="5"/>
  <c r="V39" i="5" s="1"/>
  <c r="I40" i="8" s="1"/>
  <c r="R44" i="1" l="1"/>
  <c r="D27" i="6"/>
  <c r="D29" i="6" s="1"/>
  <c r="D38" i="6"/>
  <c r="D40" i="6" s="1"/>
  <c r="D63" i="6"/>
  <c r="E59" i="6" s="1"/>
  <c r="E57" i="6" s="1"/>
  <c r="D70" i="6"/>
  <c r="E65" i="6" s="1"/>
  <c r="R42" i="1"/>
  <c r="E39" i="8"/>
  <c r="E44" i="8" s="1"/>
  <c r="R18" i="3"/>
  <c r="E21" i="8"/>
  <c r="E41" i="8"/>
  <c r="E33" i="8"/>
  <c r="K38" i="5"/>
  <c r="K40" i="5"/>
  <c r="E35" i="8"/>
  <c r="R15" i="3"/>
  <c r="R8" i="3"/>
  <c r="E22" i="8"/>
  <c r="E25" i="8" s="1"/>
  <c r="D32" i="6" s="1"/>
  <c r="D34" i="6" s="1"/>
  <c r="D36" i="6" s="1"/>
  <c r="R49" i="2"/>
  <c r="R33" i="1"/>
  <c r="E9" i="8"/>
  <c r="R32" i="1"/>
  <c r="E11" i="8"/>
  <c r="G8" i="8"/>
  <c r="E8" i="8" s="1"/>
  <c r="U13" i="3"/>
  <c r="R20" i="3"/>
  <c r="R51" i="2"/>
  <c r="K84" i="2"/>
  <c r="K86" i="2"/>
  <c r="K85" i="2"/>
  <c r="K79" i="2"/>
  <c r="K81" i="2"/>
  <c r="K80" i="2"/>
  <c r="K40" i="2"/>
  <c r="K41" i="2"/>
  <c r="K39" i="2"/>
  <c r="K34" i="2"/>
  <c r="K36" i="2"/>
  <c r="K35" i="2"/>
  <c r="R19" i="1"/>
  <c r="R18" i="1"/>
  <c r="R17" i="1"/>
  <c r="R48" i="1"/>
  <c r="R49" i="1"/>
  <c r="R47" i="1"/>
  <c r="K43" i="1"/>
  <c r="K44" i="1"/>
  <c r="K42" i="1"/>
  <c r="K35" i="5"/>
  <c r="K33" i="5"/>
  <c r="K34" i="5"/>
  <c r="S34" i="5"/>
  <c r="S33" i="5"/>
  <c r="S35" i="5"/>
  <c r="K45" i="2"/>
  <c r="K46" i="2"/>
  <c r="K44" i="2"/>
  <c r="K13" i="1"/>
  <c r="K14" i="1"/>
  <c r="K12" i="1"/>
  <c r="K29" i="2"/>
  <c r="K31" i="2"/>
  <c r="K30" i="2"/>
  <c r="K9" i="2"/>
  <c r="K11" i="2"/>
  <c r="K10" i="2"/>
  <c r="R82" i="1"/>
  <c r="R84" i="1"/>
  <c r="R83" i="1"/>
  <c r="R24" i="4"/>
  <c r="R25" i="4"/>
  <c r="R23" i="4"/>
  <c r="R97" i="1"/>
  <c r="R99" i="1"/>
  <c r="R98" i="1"/>
  <c r="K77" i="1"/>
  <c r="K79" i="1"/>
  <c r="K78" i="1"/>
  <c r="R40" i="2"/>
  <c r="R41" i="2"/>
  <c r="R39" i="2"/>
  <c r="K25" i="5"/>
  <c r="K23" i="5"/>
  <c r="K24" i="5"/>
  <c r="K18" i="4"/>
  <c r="K20" i="4"/>
  <c r="K19" i="4"/>
  <c r="K94" i="2"/>
  <c r="K96" i="2"/>
  <c r="K95" i="2"/>
  <c r="S14" i="5"/>
  <c r="V14" i="5"/>
  <c r="K43" i="5"/>
  <c r="K44" i="5"/>
  <c r="K45" i="5"/>
  <c r="S8" i="5"/>
  <c r="S10" i="5"/>
  <c r="S9" i="5"/>
  <c r="R14" i="1"/>
  <c r="R13" i="1"/>
  <c r="R12" i="1"/>
  <c r="K69" i="2"/>
  <c r="K70" i="2"/>
  <c r="K71" i="2"/>
  <c r="K48" i="1"/>
  <c r="K47" i="1"/>
  <c r="K49" i="1"/>
  <c r="R33" i="3"/>
  <c r="R35" i="3"/>
  <c r="R34" i="3"/>
  <c r="K75" i="2"/>
  <c r="K76" i="2"/>
  <c r="K74" i="2"/>
  <c r="K50" i="2"/>
  <c r="K51" i="2"/>
  <c r="K49" i="2"/>
  <c r="S39" i="5"/>
  <c r="S40" i="5"/>
  <c r="S38" i="5"/>
  <c r="V20" i="5"/>
  <c r="I36" i="8" s="1"/>
  <c r="E36" i="8" s="1"/>
  <c r="E43" i="8" s="1"/>
  <c r="S20" i="5"/>
  <c r="K28" i="1"/>
  <c r="K29" i="1"/>
  <c r="K27" i="1"/>
  <c r="R75" i="2"/>
  <c r="R76" i="2"/>
  <c r="R74" i="2"/>
  <c r="K25" i="4"/>
  <c r="K24" i="4"/>
  <c r="K23" i="4"/>
  <c r="R43" i="3"/>
  <c r="R45" i="3"/>
  <c r="R44" i="3"/>
  <c r="R92" i="1"/>
  <c r="R94" i="1"/>
  <c r="R93" i="1"/>
  <c r="R72" i="1"/>
  <c r="R74" i="1"/>
  <c r="R73" i="1"/>
  <c r="S24" i="5"/>
  <c r="S25" i="5"/>
  <c r="S23" i="5"/>
  <c r="K24" i="3"/>
  <c r="K25" i="3"/>
  <c r="K23" i="3"/>
  <c r="K24" i="2"/>
  <c r="K26" i="2"/>
  <c r="K25" i="2"/>
  <c r="R87" i="1"/>
  <c r="R89" i="1"/>
  <c r="R88" i="1"/>
  <c r="K52" i="1"/>
  <c r="K54" i="1"/>
  <c r="K53" i="1"/>
  <c r="R38" i="3"/>
  <c r="R40" i="3"/>
  <c r="R39" i="3"/>
  <c r="K9" i="3"/>
  <c r="K10" i="3"/>
  <c r="K8" i="3"/>
  <c r="K89" i="2"/>
  <c r="K91" i="2"/>
  <c r="K90" i="2"/>
  <c r="K20" i="5"/>
  <c r="K18" i="5"/>
  <c r="K19" i="5"/>
  <c r="R45" i="2"/>
  <c r="R44" i="2"/>
  <c r="R46" i="2"/>
  <c r="K33" i="1"/>
  <c r="K32" i="1"/>
  <c r="K34" i="1"/>
  <c r="K8" i="4"/>
  <c r="K10" i="4"/>
  <c r="K9" i="4"/>
  <c r="R28" i="3"/>
  <c r="R30" i="3"/>
  <c r="R29" i="3"/>
  <c r="E46" i="8" l="1"/>
  <c r="D33" i="6" s="1"/>
  <c r="D35" i="6" s="1"/>
  <c r="D42" i="6" s="1"/>
  <c r="E47" i="6" s="1"/>
  <c r="D41" i="6"/>
  <c r="E73" i="6" s="1"/>
  <c r="E13" i="8"/>
  <c r="D23" i="6" s="1"/>
  <c r="D24" i="6" s="1"/>
  <c r="D25" i="6" s="1"/>
  <c r="D30" i="6" s="1"/>
  <c r="E21" i="6" s="1"/>
  <c r="E46" i="6" l="1"/>
  <c r="E45" i="6" s="1"/>
</calcChain>
</file>

<file path=xl/sharedStrings.xml><?xml version="1.0" encoding="utf-8"?>
<sst xmlns="http://schemas.openxmlformats.org/spreadsheetml/2006/main" count="767" uniqueCount="143">
  <si>
    <t xml:space="preserve">Water: 6  x 12 =72 unit costs:
HDPE, SDR17, PN 10
6 diameter classes (OD63, 90, 110, 140, 160, 200),
3 installation depths (1.5, 2.0, 2.5)
4 surface types  (concrete, asphalt, maccadam, earth), </t>
  </si>
  <si>
    <t xml:space="preserve">WATER - NEW </t>
  </si>
  <si>
    <t>Highest Values</t>
  </si>
  <si>
    <t>Lower Values</t>
  </si>
  <si>
    <t>Diameter (external)
(mm)</t>
  </si>
  <si>
    <t>Depth (m)</t>
  </si>
  <si>
    <t>Type of surface reinstatement (100%)</t>
  </si>
  <si>
    <t>Unit Cost for NETWORK
(lei/m)</t>
  </si>
  <si>
    <t>Unit Cost for FUNCTIONAL Network
(lei/m)</t>
  </si>
  <si>
    <t>Percentage  of AUXILIARY works
(%)</t>
  </si>
  <si>
    <t>Unit Price for REINSTATEMENT
(lei/m2)</t>
  </si>
  <si>
    <t>Width of Reinstate-ment
(m)</t>
  </si>
  <si>
    <t>Unit Cost NETWORK + REINSTATE-MENT
(lei/m)</t>
  </si>
  <si>
    <t>Unit Cost NETWORK + REINSTATEMENT
(lei/m)</t>
  </si>
  <si>
    <t>Remarks / Comments</t>
  </si>
  <si>
    <t>OD 63</t>
  </si>
  <si>
    <t>Concrete</t>
  </si>
  <si>
    <t>Asphalt</t>
  </si>
  <si>
    <t>Macadam</t>
  </si>
  <si>
    <t>Green field</t>
  </si>
  <si>
    <t>NA</t>
  </si>
  <si>
    <t>OD 90</t>
  </si>
  <si>
    <t>OD 110</t>
  </si>
  <si>
    <t>Few values, variable relief</t>
  </si>
  <si>
    <t>OD 140</t>
  </si>
  <si>
    <t>OD 160</t>
  </si>
  <si>
    <t>Few values</t>
  </si>
  <si>
    <t>Few values, average influenced by mountainous area</t>
  </si>
  <si>
    <t>OD 200</t>
  </si>
  <si>
    <t>WATER - REHABILITATION</t>
  </si>
  <si>
    <t>Lowest Values</t>
  </si>
  <si>
    <t>Unit Price for REINSTATE-MENT
(lei/m2)</t>
  </si>
  <si>
    <t>Only two values</t>
  </si>
  <si>
    <t>Different distribution values where Auxiliary works are included</t>
  </si>
  <si>
    <t>Only three values where Auxiliary works are included</t>
  </si>
  <si>
    <t xml:space="preserve">Sewerage: 2 x 4  x 4 = 32 unit costs:
PVC / PP, SN8
2 diameter classes (ND 250, ND 300)
4 installation depths (1.5, 2.0, 2.5, 3.0)
4 surface types  (concrete, asphalt, maccadam, earth), </t>
  </si>
  <si>
    <t>PVC</t>
  </si>
  <si>
    <t xml:space="preserve">SEWERAGE - NEW </t>
  </si>
  <si>
    <r>
      <t>Unit Price for REINSTATE-MENT
(lei/m</t>
    </r>
    <r>
      <rPr>
        <b/>
        <vertAlign val="superscript"/>
        <sz val="9"/>
        <color theme="1"/>
        <rFont val="Calibri"/>
        <family val="2"/>
        <scheme val="minor"/>
      </rPr>
      <t>2</t>
    </r>
    <r>
      <rPr>
        <b/>
        <sz val="9"/>
        <color theme="1"/>
        <rFont val="Calibri"/>
        <family val="2"/>
        <scheme val="minor"/>
      </rPr>
      <t>)</t>
    </r>
  </si>
  <si>
    <t>Width of Reinstate-ment</t>
  </si>
  <si>
    <t>ND 250</t>
  </si>
  <si>
    <t>ND 300</t>
  </si>
  <si>
    <t xml:space="preserve">Sewerage: 2 x 4  x 4 = 32 unit costs:
PP, SN8
2 diameter classes (ND 250, ND 300)
4 installation depths (1.5, 2.0, 2.5, 3.0)
4 surface types  (concrete, asphalt, maccadam, earth), </t>
  </si>
  <si>
    <t xml:space="preserve">PP </t>
  </si>
  <si>
    <t>SEWERAGE - NEW</t>
  </si>
  <si>
    <t>SEWERAGE - REHABILITATION</t>
  </si>
  <si>
    <t>Water</t>
  </si>
  <si>
    <t>If the objective of the measure is for the constructed system to have an average energy consumption of ≤ 0,5 kWh or an Infrastructure Leakage Index (ILI) of ≤ 1,5, and for the renovation activity to decrease the average energy consumption by more than 20 % or decrease leakage by more than 20 %.</t>
  </si>
  <si>
    <t>If the objective of the measure for the constructed front-to-end waste water system to have net zero energy use or for the renewal of the front-to-end waste water system to lead to a decreased average energy use by at least 10 % (solely by energy efficiency measures and not by material changes or changes in load).</t>
  </si>
  <si>
    <t>041bis</t>
  </si>
  <si>
    <t>Waste water collection and treatment compliant with energy efficiency criteria</t>
  </si>
  <si>
    <t>Provision of water for human consumption (extraction, treatment, storage and distribution infrastructure, efficiency measures, drinking water supply) compliant with efficiency criteria</t>
  </si>
  <si>
    <t>039bis</t>
  </si>
  <si>
    <r>
      <t xml:space="preserve">RRP Allocation </t>
    </r>
    <r>
      <rPr>
        <b/>
        <sz val="11"/>
        <color theme="1"/>
        <rFont val="Calibri"/>
        <family val="2"/>
      </rPr>
      <t xml:space="preserve">€ </t>
    </r>
  </si>
  <si>
    <t xml:space="preserve">out of which </t>
  </si>
  <si>
    <t>out of which</t>
  </si>
  <si>
    <t>New</t>
  </si>
  <si>
    <t>Repairs for infiltration reduction</t>
  </si>
  <si>
    <t>Escalation factor CAPEX versus 2021</t>
  </si>
  <si>
    <t>New potable water distribution (km)</t>
  </si>
  <si>
    <t>RRP TARGET 2</t>
  </si>
  <si>
    <t>RRP TARGET 3</t>
  </si>
  <si>
    <t>New and rehabilitated sewer networks (km)</t>
  </si>
  <si>
    <t xml:space="preserve">Allocation / output indicator </t>
  </si>
  <si>
    <t>Unitary cost estimated water distribution (lei/m)</t>
  </si>
  <si>
    <t>Unitary cost estimated water distribution at 2026 (lei/m)</t>
  </si>
  <si>
    <t>Unitary cost euro / km</t>
  </si>
  <si>
    <t xml:space="preserve">Target Value 2026 in km </t>
  </si>
  <si>
    <t>Unitary cost estimated sewer network (new) (lei/m)</t>
  </si>
  <si>
    <t>Unitary cost estimated sewer network (rehab) (lei/m)</t>
  </si>
  <si>
    <t>Unitary cost estimated sewer network (rehab) at 2026 (lei/m)</t>
  </si>
  <si>
    <t>Unitary cost estimated sewer network (new) at 2026 (lei/m)</t>
  </si>
  <si>
    <t>Unitary cost euro / km of new sewer network</t>
  </si>
  <si>
    <t>Unitary cost euro / km of rehabilitated sewer network</t>
  </si>
  <si>
    <t>Indicator</t>
  </si>
  <si>
    <t>Provision of water for human consumption (extraction, treatment, storage and distribution infrastructure, efficiency measures, drinking water supply)</t>
  </si>
  <si>
    <t>039</t>
  </si>
  <si>
    <t>041</t>
  </si>
  <si>
    <t>Waste water collection and treatment</t>
  </si>
  <si>
    <t>Intervention code</t>
  </si>
  <si>
    <t xml:space="preserve">Contribution to climate </t>
  </si>
  <si>
    <t>0%</t>
  </si>
  <si>
    <t xml:space="preserve">PART 1 </t>
  </si>
  <si>
    <t>COST ESTIMATE FOR EXTENSION OF WATER &amp; WASTEWATER SYSTEMS</t>
  </si>
  <si>
    <t>PART 2</t>
  </si>
  <si>
    <t>COST ESTIMATE FOR WASTEWATER COLLECTION IN AGGLOMERATIONS BELOW 2000 p.e.</t>
  </si>
  <si>
    <t>Unit cost / IAS / Euro / at 2026</t>
  </si>
  <si>
    <t>Storage Tank lei</t>
  </si>
  <si>
    <t>Unit cost / individual system (lei)</t>
  </si>
  <si>
    <t>Other appropriate systems which address the load from 2 or several households</t>
  </si>
  <si>
    <t>Individual or other Appropriate Systems built (number of)</t>
  </si>
  <si>
    <t>Construction (lei)</t>
  </si>
  <si>
    <t>Unit cost / other appropriate system (15 households) (lei)</t>
  </si>
  <si>
    <t>Unit cost / Other Appropriate System / Euro / at 2026</t>
  </si>
  <si>
    <t>THE INDIVIDUAL SYSTEM (indicative allocation)</t>
  </si>
  <si>
    <t>OTHER APPROPRIATE SYSTEM (indicative allocation)</t>
  </si>
  <si>
    <t>RRP TARGET 4</t>
  </si>
  <si>
    <t>Sewer networks in agglomerations below 2000</t>
  </si>
  <si>
    <t>a.</t>
  </si>
  <si>
    <t>b.</t>
  </si>
  <si>
    <t>Target Value 2026</t>
  </si>
  <si>
    <t>PART 3</t>
  </si>
  <si>
    <t>COST ESTIMATE FOR THE SUPPORT SCHEME FOR LOW INCOME HOUSEHOLDS</t>
  </si>
  <si>
    <t>RRP TARGET 5</t>
  </si>
  <si>
    <t>HOUSEHOLDS SUPPORTED FOR CONNECTION TO PUBLIC WATER AND WASTEWATER NETWOKS</t>
  </si>
  <si>
    <t>To be in conformity with the final sub-paragraph of Article 3(1) of the WWD, the storage tank has to be impervious, without an overflow, and the waste water is regularly collected and transported to a treatment plant.</t>
  </si>
  <si>
    <t xml:space="preserve">TARGET 1 </t>
  </si>
  <si>
    <t>Allocation</t>
  </si>
  <si>
    <t>Target value 2026</t>
  </si>
  <si>
    <t>Weighted average 
N = 70%
V=30%</t>
  </si>
  <si>
    <t>Sewerage rehabilitation PVC</t>
  </si>
  <si>
    <t>Unit Cost NETWORK + REINSTATE-MENT</t>
  </si>
  <si>
    <t>Highest</t>
  </si>
  <si>
    <t>Lowest</t>
  </si>
  <si>
    <t>Unit Cost NETWORK + REINSTATE-MENT Weighted average 
Highest=70%
Lowest=30%</t>
  </si>
  <si>
    <t>Unit cost sewerage rehabilitation PVC</t>
  </si>
  <si>
    <t>Weighted average ND 250 plus type of surface reinstatement</t>
  </si>
  <si>
    <t>Weighted average ND 300 plus type of surface reinstatement</t>
  </si>
  <si>
    <t>LEI/m</t>
  </si>
  <si>
    <t>Water new network</t>
  </si>
  <si>
    <t>Unit cost new water network</t>
  </si>
  <si>
    <t>Sewer network new</t>
  </si>
  <si>
    <t>Unit cost sewerage new</t>
  </si>
  <si>
    <t>Average</t>
  </si>
  <si>
    <t>Service connections / km / euro</t>
  </si>
  <si>
    <t>Unitary cost service connection (euro/connection)</t>
  </si>
  <si>
    <t>Unitary cost service connection at 2026 (euro/connection)</t>
  </si>
  <si>
    <t>UNITARY COST / KM with service connections</t>
  </si>
  <si>
    <t>Connections / km</t>
  </si>
  <si>
    <t>canal</t>
  </si>
  <si>
    <t>apa</t>
  </si>
  <si>
    <t>total</t>
  </si>
  <si>
    <t>ml/gospodarie</t>
  </si>
  <si>
    <t>Estimated average cost / supported household / euro</t>
  </si>
  <si>
    <t>Service connection water euro</t>
  </si>
  <si>
    <t>Service connection wastewater euro</t>
  </si>
  <si>
    <t>Unknown distance from service connection to the house (meters)</t>
  </si>
  <si>
    <t>Pipe cost for unknown distance (water) OD 32 / euro / meter</t>
  </si>
  <si>
    <t>Pipe cost for unknown distance (wastewater) OD 160 / euro / meter</t>
  </si>
  <si>
    <t xml:space="preserve">The construction of appropriate systems to address the load from several houses is governed by ORDONANȚA DE URGENȚĂ nr. 172 din 14 octombrie 2020.
The costing for these solutions takes as reference points similar investments in other MS, notably Hungary and Austria. 
Reference: WORLD BANK DANUBE WATER PROGRAMME HOW TO CLOSE THE RURAL ACCESS GAP TO WASTEWATER TREATMENT AND SANITATION SERVICES
JANUARY 19-20, 2021
</t>
  </si>
  <si>
    <t xml:space="preserve">The cost estimate is based on a standard service connection to water and wastewater to which an unknown distance to the house is added. For the purpose of the costing, this distance is estimated at 10 meters. </t>
  </si>
  <si>
    <t>The unit costs for networks are based on the analysis of costs in works contracts financed under LIOP 2014 - 2020 and awarded in 2020. This analysis is presented in the folowing spreadsheets:
- WATER NEW MATRIX
- SEWERAGE MATRIX NEW PVC
- SEWERAGE MATRIX REHAB PVC</t>
  </si>
  <si>
    <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</si>
</sst>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0.000"/>
    <numFmt numFmtId="166" formatCode="0.0%"/>
    <numFmt numFmtId="167" formatCode="_([$€-2]\ * #,##0.00_);_([$€-2]\ * \(#,##0.00\);_([$€-2]\ * &quot;-&quot;??_);_(@_)"/>
  </numFmts>
  <fonts count="17"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sz val="11"/>
      <color rgb="FF00B0F0"/>
      <name val="Calibri"/>
      <family val="2"/>
      <scheme val="minor"/>
    </font>
    <font>
      <b/>
      <sz val="14"/>
      <color rgb="FFFF0000"/>
      <name val="Calibri"/>
      <family val="2"/>
      <scheme val="minor"/>
    </font>
    <font>
      <b/>
      <sz val="11"/>
      <color rgb="FFFF0000"/>
      <name val="Calibri"/>
      <family val="2"/>
      <scheme val="minor"/>
    </font>
    <font>
      <b/>
      <sz val="9"/>
      <color theme="1"/>
      <name val="Calibri"/>
      <family val="2"/>
      <scheme val="minor"/>
    </font>
    <font>
      <sz val="20"/>
      <color theme="1"/>
      <name val="Calibri"/>
      <family val="2"/>
      <scheme val="minor"/>
    </font>
    <font>
      <b/>
      <vertAlign val="superscript"/>
      <sz val="9"/>
      <color theme="1"/>
      <name val="Calibri"/>
      <family val="2"/>
      <scheme val="minor"/>
    </font>
    <font>
      <sz val="20"/>
      <name val="Calibri"/>
      <family val="2"/>
      <scheme val="minor"/>
    </font>
    <font>
      <b/>
      <sz val="11"/>
      <color theme="1"/>
      <name val="Calibri"/>
      <family val="2"/>
    </font>
    <font>
      <b/>
      <sz val="10"/>
      <color theme="1"/>
      <name val="Arial"/>
      <family val="2"/>
    </font>
    <font>
      <b/>
      <sz val="11"/>
      <color theme="0"/>
      <name val="Calibri"/>
      <family val="2"/>
      <scheme val="minor"/>
    </font>
    <font>
      <b/>
      <sz val="12"/>
      <color theme="0"/>
      <name val="Calibri"/>
      <family val="2"/>
      <scheme val="minor"/>
    </font>
    <font>
      <b/>
      <sz val="11"/>
      <color theme="4" tint="-0.249977111117893"/>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249977111117893"/>
        <bgColor indexed="64"/>
      </patternFill>
    </fill>
    <fill>
      <patternFill patternType="solid">
        <fgColor theme="5" tint="0.39997558519241921"/>
        <bgColor indexed="64"/>
      </patternFill>
    </fill>
    <fill>
      <patternFill patternType="solid">
        <fgColor rgb="FFFF00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243">
    <xf numFmtId="0" fontId="0" fillId="0" borderId="0" xfId="0"/>
    <xf numFmtId="0" fontId="4" fillId="0" borderId="0" xfId="0" applyFont="1"/>
    <xf numFmtId="0" fontId="2" fillId="0" borderId="0" xfId="0" applyFont="1"/>
    <xf numFmtId="0" fontId="5" fillId="0" borderId="0" xfId="0" applyFont="1"/>
    <xf numFmtId="0" fontId="2" fillId="2" borderId="0" xfId="0" applyFont="1" applyFill="1"/>
    <xf numFmtId="4" fontId="2" fillId="2" borderId="0" xfId="0" applyNumberFormat="1" applyFont="1" applyFill="1"/>
    <xf numFmtId="0" fontId="0" fillId="2" borderId="0" xfId="0" applyFill="1"/>
    <xf numFmtId="0" fontId="5" fillId="2" borderId="0" xfId="0" applyFont="1" applyFill="1"/>
    <xf numFmtId="4" fontId="0" fillId="2" borderId="0" xfId="0" applyNumberFormat="1" applyFill="1"/>
    <xf numFmtId="0" fontId="4" fillId="0" borderId="0" xfId="0" applyFont="1" applyBorder="1" applyAlignment="1">
      <alignment horizontal="left" vertical="center" wrapText="1"/>
    </xf>
    <xf numFmtId="0" fontId="4" fillId="0" borderId="0" xfId="0" applyFont="1" applyBorder="1" applyAlignment="1">
      <alignment horizontal="center" vertical="center" wrapText="1"/>
    </xf>
    <xf numFmtId="0" fontId="3" fillId="0" borderId="0" xfId="0" applyFont="1"/>
    <xf numFmtId="4" fontId="8" fillId="0" borderId="1" xfId="0" applyNumberFormat="1" applyFont="1" applyBorder="1" applyAlignment="1">
      <alignment horizontal="center" vertical="center" wrapText="1"/>
    </xf>
    <xf numFmtId="164" fontId="8" fillId="0" borderId="1" xfId="0" applyNumberFormat="1" applyFont="1" applyBorder="1" applyAlignment="1">
      <alignment horizontal="center" vertical="center" wrapText="1"/>
    </xf>
    <xf numFmtId="2" fontId="0" fillId="0" borderId="1" xfId="0" applyNumberFormat="1" applyBorder="1" applyAlignment="1">
      <alignment horizontal="left" indent="2"/>
    </xf>
    <xf numFmtId="164" fontId="0" fillId="0" borderId="1" xfId="0" applyNumberFormat="1" applyBorder="1" applyAlignment="1">
      <alignment horizontal="center"/>
    </xf>
    <xf numFmtId="0" fontId="0" fillId="0" borderId="1" xfId="0" applyBorder="1"/>
    <xf numFmtId="0" fontId="0" fillId="3" borderId="1" xfId="0" applyFill="1" applyBorder="1"/>
    <xf numFmtId="2" fontId="0" fillId="3" borderId="1" xfId="0" applyNumberFormat="1" applyFill="1" applyBorder="1"/>
    <xf numFmtId="10" fontId="0" fillId="3" borderId="1" xfId="1" applyNumberFormat="1" applyFont="1" applyFill="1" applyBorder="1"/>
    <xf numFmtId="2" fontId="0" fillId="0" borderId="1" xfId="0" applyNumberFormat="1" applyBorder="1"/>
    <xf numFmtId="4" fontId="0" fillId="0" borderId="1" xfId="0" applyNumberFormat="1" applyBorder="1"/>
    <xf numFmtId="3" fontId="0" fillId="2" borderId="1" xfId="0" applyNumberFormat="1" applyFill="1" applyBorder="1"/>
    <xf numFmtId="10" fontId="0" fillId="0" borderId="1" xfId="1" applyNumberFormat="1" applyFont="1" applyBorder="1"/>
    <xf numFmtId="3" fontId="0" fillId="0" borderId="1" xfId="0" applyNumberFormat="1" applyBorder="1"/>
    <xf numFmtId="2" fontId="0" fillId="0" borderId="2" xfId="0" applyNumberFormat="1" applyBorder="1" applyAlignment="1">
      <alignment horizontal="left" indent="2"/>
    </xf>
    <xf numFmtId="164" fontId="0" fillId="0" borderId="2" xfId="0" applyNumberFormat="1" applyBorder="1" applyAlignment="1">
      <alignment horizontal="center"/>
    </xf>
    <xf numFmtId="0" fontId="0" fillId="0" borderId="2" xfId="0" applyBorder="1"/>
    <xf numFmtId="10" fontId="0" fillId="0" borderId="2" xfId="1" applyNumberFormat="1" applyFont="1" applyBorder="1"/>
    <xf numFmtId="4" fontId="0" fillId="0" borderId="2" xfId="0" applyNumberFormat="1" applyBorder="1"/>
    <xf numFmtId="3" fontId="0" fillId="0" borderId="2" xfId="0" applyNumberFormat="1" applyBorder="1"/>
    <xf numFmtId="3" fontId="0" fillId="0" borderId="1" xfId="0" applyNumberFormat="1" applyBorder="1" applyAlignment="1">
      <alignment vertical="center" wrapText="1"/>
    </xf>
    <xf numFmtId="2" fontId="0" fillId="0" borderId="1" xfId="0" applyNumberFormat="1" applyFill="1" applyBorder="1"/>
    <xf numFmtId="0" fontId="0" fillId="0" borderId="4" xfId="0" applyBorder="1"/>
    <xf numFmtId="10" fontId="0" fillId="0" borderId="4" xfId="1" applyNumberFormat="1" applyFont="1" applyBorder="1"/>
    <xf numFmtId="2" fontId="0" fillId="0" borderId="4" xfId="0" applyNumberFormat="1" applyBorder="1"/>
    <xf numFmtId="4" fontId="0" fillId="0" borderId="4" xfId="0" applyNumberFormat="1" applyBorder="1"/>
    <xf numFmtId="0" fontId="9" fillId="0" borderId="4" xfId="0" applyFont="1" applyFill="1" applyBorder="1" applyAlignment="1">
      <alignment vertical="center"/>
    </xf>
    <xf numFmtId="0" fontId="9" fillId="0" borderId="0" xfId="0" applyFont="1" applyFill="1" applyBorder="1" applyAlignment="1">
      <alignment vertical="center"/>
    </xf>
    <xf numFmtId="0" fontId="9" fillId="0" borderId="9" xfId="0" applyFont="1" applyFill="1" applyBorder="1" applyAlignment="1">
      <alignment vertical="center"/>
    </xf>
    <xf numFmtId="2" fontId="0" fillId="0" borderId="0" xfId="0" applyNumberFormat="1" applyAlignment="1">
      <alignment horizontal="left" indent="2"/>
    </xf>
    <xf numFmtId="164" fontId="0" fillId="0" borderId="0" xfId="0" applyNumberFormat="1" applyAlignment="1">
      <alignment horizontal="center"/>
    </xf>
    <xf numFmtId="165" fontId="0" fillId="3" borderId="1" xfId="0" applyNumberFormat="1" applyFill="1" applyBorder="1"/>
    <xf numFmtId="165" fontId="0" fillId="0" borderId="1" xfId="0" applyNumberFormat="1" applyBorder="1"/>
    <xf numFmtId="2" fontId="0" fillId="0" borderId="2" xfId="0" applyNumberFormat="1" applyBorder="1"/>
    <xf numFmtId="10" fontId="0" fillId="0" borderId="0" xfId="1" applyNumberFormat="1" applyFont="1"/>
    <xf numFmtId="2" fontId="0" fillId="0" borderId="0" xfId="0" applyNumberFormat="1"/>
    <xf numFmtId="4" fontId="0" fillId="0" borderId="0" xfId="0" applyNumberFormat="1"/>
    <xf numFmtId="165" fontId="0" fillId="0" borderId="2" xfId="0" applyNumberFormat="1" applyBorder="1"/>
    <xf numFmtId="10" fontId="0" fillId="0" borderId="0" xfId="0" applyNumberFormat="1"/>
    <xf numFmtId="164" fontId="0" fillId="0" borderId="0" xfId="0" applyNumberFormat="1" applyAlignment="1">
      <alignment horizontal="center" vertical="center"/>
    </xf>
    <xf numFmtId="0" fontId="4" fillId="0" borderId="0"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3" fillId="0" borderId="0" xfId="0" applyFont="1" applyFill="1" applyBorder="1"/>
    <xf numFmtId="164" fontId="0" fillId="0" borderId="1" xfId="0" applyNumberFormat="1" applyBorder="1" applyAlignment="1">
      <alignment horizontal="center" vertical="center"/>
    </xf>
    <xf numFmtId="164" fontId="0" fillId="0" borderId="2" xfId="0" applyNumberFormat="1" applyBorder="1" applyAlignment="1">
      <alignment horizontal="center" vertical="center"/>
    </xf>
    <xf numFmtId="2" fontId="9" fillId="0" borderId="11" xfId="0" applyNumberFormat="1" applyFont="1" applyFill="1" applyBorder="1" applyAlignment="1">
      <alignment vertical="center"/>
    </xf>
    <xf numFmtId="2" fontId="9" fillId="0" borderId="12" xfId="0" applyNumberFormat="1" applyFont="1" applyFill="1" applyBorder="1" applyAlignment="1">
      <alignment vertical="center"/>
    </xf>
    <xf numFmtId="2" fontId="9" fillId="0" borderId="13" xfId="0" applyNumberFormat="1" applyFont="1" applyFill="1" applyBorder="1" applyAlignment="1">
      <alignment vertical="center"/>
    </xf>
    <xf numFmtId="0" fontId="0" fillId="0" borderId="0" xfId="0" applyBorder="1"/>
    <xf numFmtId="10" fontId="0" fillId="0" borderId="0" xfId="1" applyNumberFormat="1" applyFont="1" applyBorder="1"/>
    <xf numFmtId="2" fontId="0" fillId="0" borderId="0" xfId="0" applyNumberFormat="1" applyBorder="1"/>
    <xf numFmtId="4" fontId="0" fillId="0" borderId="0" xfId="0" applyNumberFormat="1" applyBorder="1"/>
    <xf numFmtId="2" fontId="9" fillId="0" borderId="11" xfId="0" applyNumberFormat="1" applyFont="1" applyFill="1" applyBorder="1" applyAlignment="1">
      <alignment vertical="center" wrapText="1"/>
    </xf>
    <xf numFmtId="2" fontId="9" fillId="0" borderId="12" xfId="0" applyNumberFormat="1" applyFont="1" applyFill="1" applyBorder="1" applyAlignment="1">
      <alignment vertical="center" wrapText="1"/>
    </xf>
    <xf numFmtId="2" fontId="9" fillId="0" borderId="13" xfId="0" applyNumberFormat="1" applyFont="1" applyFill="1" applyBorder="1" applyAlignment="1">
      <alignment vertical="center" wrapText="1"/>
    </xf>
    <xf numFmtId="4" fontId="0" fillId="0" borderId="9" xfId="0" applyNumberFormat="1" applyBorder="1"/>
    <xf numFmtId="4" fontId="0" fillId="3" borderId="1" xfId="0" applyNumberFormat="1" applyFill="1" applyBorder="1"/>
    <xf numFmtId="0" fontId="7" fillId="0" borderId="2" xfId="0" applyFont="1" applyBorder="1" applyAlignment="1">
      <alignment vertical="center" wrapText="1"/>
    </xf>
    <xf numFmtId="0" fontId="3" fillId="0" borderId="2" xfId="0" applyFont="1" applyBorder="1" applyAlignment="1">
      <alignment vertical="center" wrapText="1"/>
    </xf>
    <xf numFmtId="0" fontId="0" fillId="0" borderId="2" xfId="0" applyBorder="1" applyAlignment="1">
      <alignment horizontal="center"/>
    </xf>
    <xf numFmtId="3" fontId="0" fillId="0" borderId="1" xfId="0" applyNumberFormat="1" applyBorder="1" applyAlignment="1">
      <alignment vertical="top" wrapText="1"/>
    </xf>
    <xf numFmtId="0" fontId="0" fillId="0" borderId="8" xfId="0" applyBorder="1"/>
    <xf numFmtId="0" fontId="7" fillId="0" borderId="0" xfId="0" applyFont="1"/>
    <xf numFmtId="0" fontId="0" fillId="0" borderId="1" xfId="0" applyBorder="1" applyAlignment="1">
      <alignment horizontal="left" indent="2"/>
    </xf>
    <xf numFmtId="10" fontId="0" fillId="3" borderId="1" xfId="0" applyNumberFormat="1" applyFill="1" applyBorder="1"/>
    <xf numFmtId="4" fontId="0" fillId="0" borderId="1" xfId="0" applyNumberFormat="1" applyFill="1" applyBorder="1"/>
    <xf numFmtId="10" fontId="0" fillId="0" borderId="1" xfId="0" applyNumberFormat="1" applyBorder="1"/>
    <xf numFmtId="0" fontId="4" fillId="0" borderId="0" xfId="0" applyFont="1" applyAlignment="1">
      <alignment horizontal="right"/>
    </xf>
    <xf numFmtId="0" fontId="0" fillId="0" borderId="2" xfId="0" applyBorder="1" applyAlignment="1">
      <alignment horizontal="left" indent="2"/>
    </xf>
    <xf numFmtId="10" fontId="0" fillId="0" borderId="2" xfId="0" applyNumberFormat="1" applyBorder="1"/>
    <xf numFmtId="164" fontId="0" fillId="0" borderId="1" xfId="0" applyNumberFormat="1" applyFill="1" applyBorder="1" applyAlignment="1">
      <alignment horizontal="center" vertical="center"/>
    </xf>
    <xf numFmtId="0" fontId="0" fillId="0" borderId="0" xfId="0" applyAlignment="1">
      <alignment horizontal="left" indent="2"/>
    </xf>
    <xf numFmtId="3" fontId="0" fillId="0" borderId="0" xfId="0" applyNumberFormat="1" applyFill="1" applyBorder="1"/>
    <xf numFmtId="0" fontId="0" fillId="0" borderId="4" xfId="0" applyBorder="1" applyAlignment="1">
      <alignment horizontal="left" indent="2"/>
    </xf>
    <xf numFmtId="164" fontId="0" fillId="0" borderId="4" xfId="0" applyNumberFormat="1" applyBorder="1" applyAlignment="1">
      <alignment horizontal="center" vertical="center"/>
    </xf>
    <xf numFmtId="10" fontId="0" fillId="0" borderId="4" xfId="0" applyNumberFormat="1" applyBorder="1"/>
    <xf numFmtId="3" fontId="0" fillId="0" borderId="4" xfId="0" applyNumberFormat="1" applyBorder="1"/>
    <xf numFmtId="0" fontId="0" fillId="0" borderId="0" xfId="0" applyBorder="1" applyAlignment="1">
      <alignment horizontal="left" indent="2"/>
    </xf>
    <xf numFmtId="164" fontId="0" fillId="0" borderId="0" xfId="0" applyNumberFormat="1" applyBorder="1" applyAlignment="1">
      <alignment horizontal="center" vertical="center"/>
    </xf>
    <xf numFmtId="10" fontId="0" fillId="0" borderId="0" xfId="0" applyNumberFormat="1" applyBorder="1"/>
    <xf numFmtId="3" fontId="0" fillId="0" borderId="0" xfId="0" applyNumberFormat="1" applyBorder="1"/>
    <xf numFmtId="0" fontId="0" fillId="2" borderId="0" xfId="0" applyFill="1" applyAlignment="1">
      <alignment wrapText="1"/>
    </xf>
    <xf numFmtId="0" fontId="6" fillId="2" borderId="0" xfId="0" applyFont="1" applyFill="1" applyAlignment="1">
      <alignment vertical="center" wrapText="1"/>
    </xf>
    <xf numFmtId="4" fontId="7" fillId="0" borderId="14" xfId="0" applyNumberFormat="1" applyFont="1" applyBorder="1" applyAlignment="1"/>
    <xf numFmtId="4" fontId="7" fillId="0" borderId="2" xfId="0" applyNumberFormat="1" applyFont="1" applyBorder="1" applyAlignment="1"/>
    <xf numFmtId="0" fontId="7" fillId="0" borderId="2" xfId="0" applyFont="1" applyBorder="1" applyAlignment="1"/>
    <xf numFmtId="4" fontId="7" fillId="0" borderId="15" xfId="0" applyNumberFormat="1" applyFont="1" applyBorder="1" applyAlignment="1"/>
    <xf numFmtId="10" fontId="7" fillId="0" borderId="2" xfId="1" applyNumberFormat="1" applyFont="1" applyBorder="1" applyAlignment="1"/>
    <xf numFmtId="4" fontId="7" fillId="0" borderId="0" xfId="0" applyNumberFormat="1" applyFont="1"/>
    <xf numFmtId="0" fontId="7" fillId="0" borderId="14" xfId="0" applyFont="1" applyBorder="1" applyAlignment="1"/>
    <xf numFmtId="0" fontId="7" fillId="0" borderId="15" xfId="0" applyFont="1" applyBorder="1" applyAlignment="1"/>
    <xf numFmtId="0" fontId="3" fillId="0" borderId="0" xfId="0" applyFont="1" applyAlignment="1">
      <alignment horizontal="center"/>
    </xf>
    <xf numFmtId="166" fontId="0" fillId="0" borderId="0" xfId="0" applyNumberFormat="1" applyAlignment="1">
      <alignment horizontal="center"/>
    </xf>
    <xf numFmtId="9" fontId="0" fillId="0" borderId="0" xfId="0" applyNumberFormat="1" applyAlignment="1">
      <alignment horizontal="center"/>
    </xf>
    <xf numFmtId="0" fontId="3" fillId="0" borderId="0" xfId="0" applyFont="1" applyAlignment="1">
      <alignment horizontal="left" wrapText="1"/>
    </xf>
    <xf numFmtId="0" fontId="3" fillId="0" borderId="0" xfId="0" applyFont="1" applyAlignment="1">
      <alignment vertical="center" wrapText="1"/>
    </xf>
    <xf numFmtId="4" fontId="3" fillId="0" borderId="0" xfId="0" applyNumberFormat="1" applyFont="1" applyAlignment="1">
      <alignment horizontal="left"/>
    </xf>
    <xf numFmtId="0" fontId="0" fillId="0" borderId="0" xfId="0" applyFont="1"/>
    <xf numFmtId="0" fontId="0" fillId="0" borderId="0" xfId="0" applyAlignment="1">
      <alignment horizontal="left"/>
    </xf>
    <xf numFmtId="4" fontId="0" fillId="0" borderId="0" xfId="0" applyNumberFormat="1" applyFont="1" applyAlignment="1">
      <alignment horizontal="left"/>
    </xf>
    <xf numFmtId="0" fontId="3" fillId="0" borderId="0" xfId="0" applyFont="1" applyAlignment="1">
      <alignment horizontal="left" wrapText="1"/>
    </xf>
    <xf numFmtId="9" fontId="0" fillId="0" borderId="0" xfId="0" applyNumberFormat="1"/>
    <xf numFmtId="0" fontId="13" fillId="0" borderId="0" xfId="0" applyFont="1"/>
    <xf numFmtId="0" fontId="3" fillId="3" borderId="0" xfId="0" applyFont="1" applyFill="1" applyAlignment="1">
      <alignment vertical="center" wrapText="1"/>
    </xf>
    <xf numFmtId="0" fontId="3" fillId="3" borderId="0" xfId="0" applyFont="1" applyFill="1"/>
    <xf numFmtId="4" fontId="3" fillId="3" borderId="0" xfId="0" applyNumberFormat="1" applyFont="1" applyFill="1" applyAlignment="1">
      <alignment horizontal="left"/>
    </xf>
    <xf numFmtId="4" fontId="0" fillId="3" borderId="0" xfId="0" applyNumberFormat="1" applyFont="1" applyFill="1" applyAlignment="1">
      <alignment horizontal="left"/>
    </xf>
    <xf numFmtId="0" fontId="0" fillId="3" borderId="0" xfId="0" applyFont="1" applyFill="1"/>
    <xf numFmtId="0" fontId="3" fillId="0" borderId="0" xfId="0" applyFont="1" applyAlignment="1">
      <alignment wrapText="1"/>
    </xf>
    <xf numFmtId="0" fontId="3" fillId="0" borderId="0" xfId="0" applyFont="1" applyAlignment="1">
      <alignment horizontal="center" wrapText="1"/>
    </xf>
    <xf numFmtId="49" fontId="7" fillId="0" borderId="0" xfId="0" applyNumberFormat="1" applyFont="1"/>
    <xf numFmtId="0" fontId="0" fillId="0" borderId="0" xfId="0" applyAlignment="1">
      <alignment wrapText="1"/>
    </xf>
    <xf numFmtId="49" fontId="7" fillId="0" borderId="0" xfId="0" applyNumberFormat="1" applyFont="1" applyAlignment="1">
      <alignment horizontal="center" wrapText="1"/>
    </xf>
    <xf numFmtId="9" fontId="7" fillId="0" borderId="0" xfId="0" applyNumberFormat="1" applyFont="1" applyAlignment="1">
      <alignment horizontal="center" wrapText="1"/>
    </xf>
    <xf numFmtId="0" fontId="0" fillId="0" borderId="0" xfId="0" applyAlignment="1">
      <alignment horizontal="center" wrapText="1"/>
    </xf>
    <xf numFmtId="0" fontId="14" fillId="4" borderId="0" xfId="0" applyFont="1" applyFill="1"/>
    <xf numFmtId="3" fontId="3" fillId="0" borderId="0" xfId="0" applyNumberFormat="1" applyFont="1" applyAlignment="1">
      <alignment horizontal="left"/>
    </xf>
    <xf numFmtId="0" fontId="3" fillId="5" borderId="0" xfId="0" applyFont="1" applyFill="1"/>
    <xf numFmtId="4" fontId="3" fillId="5" borderId="0" xfId="0" applyNumberFormat="1" applyFont="1" applyFill="1" applyAlignment="1">
      <alignment horizontal="left"/>
    </xf>
    <xf numFmtId="0" fontId="0" fillId="0" borderId="0" xfId="0" applyAlignment="1">
      <alignment horizontal="right" wrapText="1"/>
    </xf>
    <xf numFmtId="0" fontId="3" fillId="3" borderId="0" xfId="0" applyFont="1" applyFill="1" applyAlignment="1">
      <alignment wrapText="1"/>
    </xf>
    <xf numFmtId="0" fontId="15" fillId="4" borderId="0" xfId="0" applyFont="1" applyFill="1" applyAlignment="1">
      <alignment wrapText="1"/>
    </xf>
    <xf numFmtId="0" fontId="3" fillId="3" borderId="0" xfId="0" applyFont="1" applyFill="1" applyAlignment="1">
      <alignment horizontal="left"/>
    </xf>
    <xf numFmtId="4" fontId="0" fillId="3" borderId="0" xfId="0" applyNumberFormat="1" applyFill="1" applyAlignment="1">
      <alignment horizontal="left"/>
    </xf>
    <xf numFmtId="4" fontId="0" fillId="0" borderId="0" xfId="0" applyNumberFormat="1" applyAlignment="1">
      <alignment horizontal="left"/>
    </xf>
    <xf numFmtId="0" fontId="3" fillId="0" borderId="0" xfId="0" applyFont="1" applyAlignment="1">
      <alignment horizontal="left" wrapText="1"/>
    </xf>
    <xf numFmtId="2" fontId="11" fillId="0" borderId="5" xfId="0" applyNumberFormat="1" applyFont="1" applyBorder="1" applyAlignment="1">
      <alignment horizontal="center" vertical="center" wrapText="1"/>
    </xf>
    <xf numFmtId="2" fontId="11" fillId="0" borderId="7" xfId="0" applyNumberFormat="1" applyFont="1" applyBorder="1" applyAlignment="1">
      <alignment horizontal="center" vertical="center" wrapText="1"/>
    </xf>
    <xf numFmtId="2" fontId="11" fillId="0" borderId="10" xfId="0" applyNumberFormat="1" applyFont="1" applyBorder="1" applyAlignment="1">
      <alignment horizontal="center" vertical="center" wrapText="1"/>
    </xf>
    <xf numFmtId="0" fontId="3" fillId="0" borderId="0" xfId="0" applyFont="1" applyAlignment="1">
      <alignment horizontal="left" wrapText="1"/>
    </xf>
    <xf numFmtId="0" fontId="7" fillId="0" borderId="0" xfId="0" applyFont="1" applyBorder="1" applyAlignment="1">
      <alignment horizontal="center"/>
    </xf>
    <xf numFmtId="4" fontId="7" fillId="0" borderId="0" xfId="0" applyNumberFormat="1" applyFont="1" applyBorder="1" applyAlignment="1"/>
    <xf numFmtId="0" fontId="7" fillId="0" borderId="0" xfId="0" applyFont="1" applyBorder="1" applyAlignment="1"/>
    <xf numFmtId="4" fontId="3" fillId="0" borderId="0" xfId="0" applyNumberFormat="1" applyFont="1" applyAlignment="1">
      <alignment horizontal="center" vertical="center" wrapText="1"/>
    </xf>
    <xf numFmtId="4" fontId="3" fillId="0" borderId="0" xfId="0" applyNumberFormat="1" applyFont="1"/>
    <xf numFmtId="0" fontId="3" fillId="0" borderId="0" xfId="0" applyFont="1" applyAlignment="1">
      <alignment horizontal="center" vertical="center" wrapText="1"/>
    </xf>
    <xf numFmtId="4" fontId="0" fillId="0" borderId="0" xfId="0" applyNumberFormat="1" applyAlignment="1">
      <alignment horizontal="right" vertical="center"/>
    </xf>
    <xf numFmtId="4" fontId="0" fillId="0" borderId="0" xfId="0" applyNumberFormat="1" applyFill="1" applyBorder="1" applyAlignment="1">
      <alignment horizontal="right" vertical="center"/>
    </xf>
    <xf numFmtId="0" fontId="0" fillId="0" borderId="0" xfId="0" applyAlignment="1">
      <alignment horizontal="center" vertical="center" wrapText="1"/>
    </xf>
    <xf numFmtId="4" fontId="7" fillId="0" borderId="0" xfId="0" applyNumberFormat="1" applyFont="1" applyAlignment="1">
      <alignment horizontal="left"/>
    </xf>
    <xf numFmtId="43" fontId="0" fillId="0" borderId="0" xfId="2" applyFont="1"/>
    <xf numFmtId="0" fontId="0" fillId="3" borderId="0" xfId="0" applyFill="1"/>
    <xf numFmtId="167" fontId="0" fillId="0" borderId="0" xfId="2" applyNumberFormat="1" applyFont="1"/>
    <xf numFmtId="0" fontId="3" fillId="0" borderId="0" xfId="0" applyFont="1" applyAlignment="1">
      <alignment horizontal="center"/>
    </xf>
    <xf numFmtId="0" fontId="7" fillId="0" borderId="0" xfId="0" applyFont="1" applyFill="1" applyBorder="1" applyAlignment="1">
      <alignment horizontal="center" vertical="center" wrapText="1"/>
    </xf>
    <xf numFmtId="0" fontId="16" fillId="3" borderId="0" xfId="0" applyFont="1" applyFill="1" applyAlignment="1">
      <alignment horizontal="left" vertical="top" wrapText="1"/>
    </xf>
    <xf numFmtId="0" fontId="15" fillId="4" borderId="0" xfId="0" applyFont="1" applyFill="1" applyAlignment="1">
      <alignment horizontal="left" vertical="center"/>
    </xf>
    <xf numFmtId="0" fontId="15" fillId="4" borderId="0" xfId="0" applyFont="1" applyFill="1" applyAlignment="1">
      <alignment horizontal="center" vertical="center"/>
    </xf>
    <xf numFmtId="0" fontId="3" fillId="0" borderId="0" xfId="0" applyFont="1" applyAlignment="1">
      <alignment horizontal="left" wrapText="1"/>
    </xf>
    <xf numFmtId="0" fontId="3" fillId="3" borderId="0" xfId="0" applyFont="1" applyFill="1" applyAlignment="1">
      <alignment horizontal="left" vertical="center"/>
    </xf>
    <xf numFmtId="0" fontId="13" fillId="3" borderId="0" xfId="0" applyFont="1" applyFill="1" applyAlignment="1">
      <alignment horizontal="left" vertical="center"/>
    </xf>
    <xf numFmtId="0" fontId="3" fillId="6" borderId="0" xfId="0" applyFont="1" applyFill="1" applyAlignment="1">
      <alignment horizontal="left" vertical="top" wrapText="1"/>
    </xf>
    <xf numFmtId="0" fontId="3" fillId="6" borderId="0" xfId="0" applyFont="1" applyFill="1" applyAlignment="1">
      <alignment horizontal="left" vertical="top"/>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6" fillId="2" borderId="0" xfId="0" applyFont="1" applyFill="1" applyAlignment="1">
      <alignment horizontal="center" vertical="center"/>
    </xf>
    <xf numFmtId="0" fontId="7" fillId="0" borderId="1" xfId="0" applyFont="1" applyBorder="1" applyAlignment="1">
      <alignment horizontal="center"/>
    </xf>
    <xf numFmtId="3" fontId="0" fillId="0" borderId="11" xfId="0" applyNumberFormat="1" applyBorder="1" applyAlignment="1">
      <alignment horizontal="left" vertical="center" wrapText="1"/>
    </xf>
    <xf numFmtId="3" fontId="0" fillId="0" borderId="12" xfId="0" applyNumberFormat="1" applyBorder="1" applyAlignment="1">
      <alignment horizontal="left" vertical="center" wrapText="1"/>
    </xf>
    <xf numFmtId="3" fontId="0" fillId="0" borderId="13" xfId="0" applyNumberFormat="1" applyBorder="1" applyAlignment="1">
      <alignment horizontal="left" vertical="center" wrapText="1"/>
    </xf>
    <xf numFmtId="0" fontId="7" fillId="0" borderId="8" xfId="0" applyFont="1" applyBorder="1" applyAlignment="1">
      <alignment horizontal="center"/>
    </xf>
    <xf numFmtId="0" fontId="7" fillId="0" borderId="9" xfId="0" applyFont="1" applyBorder="1" applyAlignment="1">
      <alignment horizontal="center"/>
    </xf>
    <xf numFmtId="3" fontId="0" fillId="0" borderId="11" xfId="0" applyNumberFormat="1" applyBorder="1" applyAlignment="1">
      <alignment horizontal="left" vertical="center"/>
    </xf>
    <xf numFmtId="3" fontId="0" fillId="0" borderId="12" xfId="0" applyNumberFormat="1" applyBorder="1" applyAlignment="1">
      <alignment horizontal="left" vertical="center"/>
    </xf>
    <xf numFmtId="3" fontId="0" fillId="0" borderId="13" xfId="0" applyNumberFormat="1" applyBorder="1" applyAlignment="1">
      <alignment horizontal="left" vertical="center"/>
    </xf>
    <xf numFmtId="0" fontId="6" fillId="2" borderId="0" xfId="0" applyFont="1" applyFill="1" applyAlignment="1">
      <alignment horizontal="center" vertical="center" wrapText="1"/>
    </xf>
    <xf numFmtId="0" fontId="7" fillId="0" borderId="14" xfId="0" applyFont="1" applyFill="1" applyBorder="1" applyAlignment="1">
      <alignment horizontal="center"/>
    </xf>
    <xf numFmtId="0" fontId="7" fillId="0" borderId="2" xfId="0" applyFont="1" applyFill="1" applyBorder="1" applyAlignment="1">
      <alignment horizontal="center"/>
    </xf>
    <xf numFmtId="0" fontId="7" fillId="0" borderId="15" xfId="0" applyFont="1" applyFill="1" applyBorder="1" applyAlignment="1">
      <alignment horizontal="center"/>
    </xf>
    <xf numFmtId="2" fontId="9" fillId="0" borderId="3" xfId="0" applyNumberFormat="1" applyFont="1" applyFill="1" applyBorder="1" applyAlignment="1">
      <alignment horizontal="center" vertical="center" wrapText="1"/>
    </xf>
    <xf numFmtId="2" fontId="9" fillId="0" borderId="4" xfId="0" applyNumberFormat="1" applyFont="1" applyFill="1" applyBorder="1" applyAlignment="1">
      <alignment horizontal="center" vertical="center" wrapText="1"/>
    </xf>
    <xf numFmtId="2" fontId="9" fillId="0" borderId="5" xfId="0" applyNumberFormat="1" applyFont="1" applyFill="1" applyBorder="1" applyAlignment="1">
      <alignment horizontal="center" vertical="center" wrapText="1"/>
    </xf>
    <xf numFmtId="2" fontId="9" fillId="0" borderId="6" xfId="0" applyNumberFormat="1" applyFont="1" applyFill="1" applyBorder="1" applyAlignment="1">
      <alignment horizontal="center" vertical="center" wrapText="1"/>
    </xf>
    <xf numFmtId="2" fontId="9" fillId="0" borderId="0" xfId="0" applyNumberFormat="1" applyFont="1" applyFill="1" applyBorder="1" applyAlignment="1">
      <alignment horizontal="center" vertical="center" wrapText="1"/>
    </xf>
    <xf numFmtId="2" fontId="9" fillId="0" borderId="7" xfId="0" applyNumberFormat="1" applyFont="1" applyFill="1" applyBorder="1" applyAlignment="1">
      <alignment horizontal="center" vertical="center" wrapText="1"/>
    </xf>
    <xf numFmtId="2" fontId="9" fillId="0" borderId="8" xfId="0" applyNumberFormat="1" applyFont="1" applyFill="1" applyBorder="1" applyAlignment="1">
      <alignment horizontal="center" vertical="center" wrapText="1"/>
    </xf>
    <xf numFmtId="2" fontId="9" fillId="0" borderId="9" xfId="0" applyNumberFormat="1" applyFont="1" applyFill="1" applyBorder="1" applyAlignment="1">
      <alignment horizontal="center" vertical="center" wrapText="1"/>
    </xf>
    <xf numFmtId="2" fontId="9" fillId="0" borderId="10" xfId="0" applyNumberFormat="1" applyFont="1" applyFill="1" applyBorder="1" applyAlignment="1">
      <alignment horizontal="center" vertical="center" wrapText="1"/>
    </xf>
    <xf numFmtId="0" fontId="7" fillId="0" borderId="2" xfId="0" applyFont="1" applyBorder="1" applyAlignment="1">
      <alignment horizontal="center" vertical="center" wrapText="1"/>
    </xf>
    <xf numFmtId="0" fontId="3" fillId="0" borderId="2" xfId="0" applyFont="1" applyBorder="1" applyAlignment="1">
      <alignment horizontal="center" vertical="center" wrapText="1"/>
    </xf>
    <xf numFmtId="3" fontId="0" fillId="0" borderId="11" xfId="0" applyNumberFormat="1" applyBorder="1" applyAlignment="1">
      <alignment horizontal="left" wrapText="1"/>
    </xf>
    <xf numFmtId="3" fontId="0" fillId="0" borderId="12" xfId="0" applyNumberFormat="1" applyBorder="1" applyAlignment="1">
      <alignment horizontal="left" wrapText="1"/>
    </xf>
    <xf numFmtId="3" fontId="0" fillId="0" borderId="13" xfId="0" applyNumberFormat="1" applyBorder="1" applyAlignment="1">
      <alignment horizontal="left" wrapText="1"/>
    </xf>
    <xf numFmtId="3" fontId="0" fillId="0" borderId="11" xfId="0" applyNumberFormat="1" applyBorder="1" applyAlignment="1">
      <alignment horizontal="left" vertical="top" wrapText="1"/>
    </xf>
    <xf numFmtId="3" fontId="0" fillId="0" borderId="12" xfId="0" applyNumberFormat="1" applyBorder="1" applyAlignment="1">
      <alignment horizontal="left" vertical="top" wrapText="1"/>
    </xf>
    <xf numFmtId="3" fontId="0" fillId="0" borderId="13" xfId="0" applyNumberFormat="1" applyBorder="1" applyAlignment="1">
      <alignment horizontal="left" vertical="top" wrapText="1"/>
    </xf>
    <xf numFmtId="2" fontId="11" fillId="0" borderId="3" xfId="0" applyNumberFormat="1" applyFont="1" applyBorder="1" applyAlignment="1">
      <alignment horizontal="center" vertical="center"/>
    </xf>
    <xf numFmtId="2" fontId="11" fillId="0" borderId="4" xfId="0" applyNumberFormat="1" applyFont="1" applyBorder="1" applyAlignment="1">
      <alignment horizontal="center" vertical="center"/>
    </xf>
    <xf numFmtId="2" fontId="11" fillId="0" borderId="5" xfId="0" applyNumberFormat="1" applyFont="1" applyBorder="1" applyAlignment="1">
      <alignment horizontal="center" vertical="center"/>
    </xf>
    <xf numFmtId="2" fontId="11" fillId="0" borderId="6" xfId="0" applyNumberFormat="1" applyFont="1" applyBorder="1" applyAlignment="1">
      <alignment horizontal="center" vertical="center"/>
    </xf>
    <xf numFmtId="2" fontId="11" fillId="0" borderId="0" xfId="0" applyNumberFormat="1" applyFont="1" applyBorder="1" applyAlignment="1">
      <alignment horizontal="center" vertical="center"/>
    </xf>
    <xf numFmtId="2" fontId="11" fillId="0" borderId="7" xfId="0" applyNumberFormat="1" applyFont="1" applyBorder="1" applyAlignment="1">
      <alignment horizontal="center" vertical="center"/>
    </xf>
    <xf numFmtId="2" fontId="11" fillId="0" borderId="8" xfId="0" applyNumberFormat="1" applyFont="1" applyBorder="1" applyAlignment="1">
      <alignment horizontal="center" vertical="center"/>
    </xf>
    <xf numFmtId="2" fontId="11" fillId="0" borderId="9" xfId="0" applyNumberFormat="1" applyFont="1" applyBorder="1" applyAlignment="1">
      <alignment horizontal="center" vertical="center"/>
    </xf>
    <xf numFmtId="2" fontId="11" fillId="0" borderId="10" xfId="0" applyNumberFormat="1" applyFont="1" applyBorder="1" applyAlignment="1">
      <alignment horizontal="center" vertical="center"/>
    </xf>
    <xf numFmtId="0" fontId="4" fillId="0" borderId="9" xfId="0" applyFont="1" applyBorder="1" applyAlignment="1">
      <alignment horizontal="left" vertical="center" wrapText="1"/>
    </xf>
    <xf numFmtId="0" fontId="6" fillId="2" borderId="1" xfId="0" applyFont="1" applyFill="1" applyBorder="1" applyAlignment="1">
      <alignment horizontal="center" vertical="center"/>
    </xf>
    <xf numFmtId="0" fontId="7" fillId="0" borderId="14" xfId="0" applyFont="1" applyBorder="1" applyAlignment="1">
      <alignment horizontal="center"/>
    </xf>
    <xf numFmtId="0" fontId="7" fillId="0" borderId="2" xfId="0" applyFont="1" applyBorder="1" applyAlignment="1">
      <alignment horizontal="center"/>
    </xf>
    <xf numFmtId="0" fontId="7" fillId="0" borderId="15" xfId="0" applyFont="1" applyBorder="1" applyAlignment="1">
      <alignment horizontal="center"/>
    </xf>
    <xf numFmtId="2" fontId="9" fillId="0" borderId="3" xfId="0" applyNumberFormat="1" applyFont="1" applyBorder="1" applyAlignment="1">
      <alignment horizontal="center" vertical="center" wrapText="1"/>
    </xf>
    <xf numFmtId="2" fontId="9" fillId="0" borderId="4" xfId="0" applyNumberFormat="1" applyFont="1" applyBorder="1" applyAlignment="1">
      <alignment horizontal="center" vertical="center" wrapText="1"/>
    </xf>
    <xf numFmtId="2" fontId="9" fillId="0" borderId="5" xfId="0" applyNumberFormat="1" applyFont="1" applyBorder="1" applyAlignment="1">
      <alignment horizontal="center" vertical="center" wrapText="1"/>
    </xf>
    <xf numFmtId="2" fontId="9" fillId="0" borderId="6" xfId="0" applyNumberFormat="1" applyFont="1" applyBorder="1" applyAlignment="1">
      <alignment horizontal="center" vertical="center" wrapText="1"/>
    </xf>
    <xf numFmtId="2" fontId="9" fillId="0" borderId="0" xfId="0" applyNumberFormat="1" applyFont="1" applyBorder="1" applyAlignment="1">
      <alignment horizontal="center" vertical="center" wrapText="1"/>
    </xf>
    <xf numFmtId="2" fontId="9" fillId="0" borderId="7" xfId="0" applyNumberFormat="1" applyFont="1" applyBorder="1" applyAlignment="1">
      <alignment horizontal="center" vertical="center" wrapText="1"/>
    </xf>
    <xf numFmtId="2" fontId="9" fillId="0" borderId="8" xfId="0" applyNumberFormat="1" applyFont="1" applyBorder="1" applyAlignment="1">
      <alignment horizontal="center" vertical="center" wrapText="1"/>
    </xf>
    <xf numFmtId="2" fontId="9" fillId="0" borderId="9" xfId="0" applyNumberFormat="1" applyFont="1" applyBorder="1" applyAlignment="1">
      <alignment horizontal="center" vertical="center" wrapText="1"/>
    </xf>
    <xf numFmtId="2" fontId="9" fillId="0" borderId="10" xfId="0" applyNumberFormat="1" applyFont="1" applyBorder="1" applyAlignment="1">
      <alignment horizontal="center" vertical="center" wrapText="1"/>
    </xf>
    <xf numFmtId="0" fontId="6" fillId="2" borderId="1" xfId="0" applyFont="1" applyFill="1" applyBorder="1" applyAlignment="1">
      <alignment horizontal="center" vertical="center" wrapText="1"/>
    </xf>
    <xf numFmtId="4" fontId="6" fillId="2" borderId="0" xfId="0" applyNumberFormat="1" applyFont="1" applyFill="1" applyAlignment="1">
      <alignment horizontal="center" vertical="center" wrapText="1"/>
    </xf>
    <xf numFmtId="2" fontId="11" fillId="0" borderId="3" xfId="0" applyNumberFormat="1" applyFont="1" applyBorder="1" applyAlignment="1">
      <alignment horizontal="center" vertical="center" wrapText="1"/>
    </xf>
    <xf numFmtId="2" fontId="11" fillId="0" borderId="4" xfId="0" applyNumberFormat="1" applyFont="1" applyBorder="1" applyAlignment="1">
      <alignment horizontal="center" vertical="center" wrapText="1"/>
    </xf>
    <xf numFmtId="2" fontId="11" fillId="0" borderId="5" xfId="0" applyNumberFormat="1" applyFont="1" applyBorder="1" applyAlignment="1">
      <alignment horizontal="center" vertical="center" wrapText="1"/>
    </xf>
    <xf numFmtId="2" fontId="11" fillId="0" borderId="6" xfId="0" applyNumberFormat="1" applyFont="1" applyBorder="1" applyAlignment="1">
      <alignment horizontal="center" vertical="center" wrapText="1"/>
    </xf>
    <xf numFmtId="2" fontId="11" fillId="0" borderId="0" xfId="0" applyNumberFormat="1" applyFont="1" applyBorder="1" applyAlignment="1">
      <alignment horizontal="center" vertical="center" wrapText="1"/>
    </xf>
    <xf numFmtId="2" fontId="11" fillId="0" borderId="7" xfId="0" applyNumberFormat="1" applyFont="1" applyBorder="1" applyAlignment="1">
      <alignment horizontal="center" vertical="center" wrapText="1"/>
    </xf>
    <xf numFmtId="2" fontId="11" fillId="0" borderId="8" xfId="0" applyNumberFormat="1" applyFont="1" applyBorder="1" applyAlignment="1">
      <alignment horizontal="center" vertical="center" wrapText="1"/>
    </xf>
    <xf numFmtId="2" fontId="11" fillId="0" borderId="9" xfId="0" applyNumberFormat="1" applyFont="1" applyBorder="1" applyAlignment="1">
      <alignment horizontal="center" vertical="center" wrapText="1"/>
    </xf>
    <xf numFmtId="2" fontId="11" fillId="0" borderId="10" xfId="0" applyNumberFormat="1" applyFont="1" applyBorder="1" applyAlignment="1">
      <alignment horizontal="center" vertical="center" wrapText="1"/>
    </xf>
    <xf numFmtId="3" fontId="0" fillId="2" borderId="11" xfId="0" applyNumberFormat="1" applyFill="1" applyBorder="1" applyAlignment="1">
      <alignment horizontal="left" vertical="center"/>
    </xf>
    <xf numFmtId="3" fontId="0" fillId="2" borderId="12" xfId="0" applyNumberFormat="1" applyFill="1" applyBorder="1" applyAlignment="1">
      <alignment horizontal="left" vertical="center"/>
    </xf>
    <xf numFmtId="3" fontId="0" fillId="2" borderId="13" xfId="0" applyNumberFormat="1" applyFill="1" applyBorder="1" applyAlignment="1">
      <alignment horizontal="left" vertical="center"/>
    </xf>
  </cellXfs>
  <cellStyles count="3">
    <cellStyle name="Comma" xfId="2" builtinId="3"/>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Users/cringas/Documents/04_Cost%20of%20Pipes/Analiza%20Numerica/Unit%20Costs%20Files_Rev.%2001/Unit%20Costs%20-%20Water%20Sewerage%20-%20Complete%20Unit%20Costs_Rev.%2002_16.04.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TER_NEW - Matrix"/>
      <sheetName val="WATER_REHAB - Matrix)"/>
      <sheetName val="SEWERAGE_Matrix - New PVC"/>
      <sheetName val="SEWERAGE_Matrix - New PP"/>
      <sheetName val="SEWERAGE_Matrix - Rehab PVC"/>
      <sheetName val="Water_New OD 63_H=1.5 m"/>
      <sheetName val="Water_New OD_63_H=2.0 m"/>
      <sheetName val="Water_New OD_90_H=1.5 m"/>
      <sheetName val="Water_New OD90_H=2.0 m"/>
      <sheetName val="Water_New OD110_H=1.5 m"/>
      <sheetName val="Water_New OD110_H=2.0 m"/>
      <sheetName val="Water_New OD110_H=2.5 m"/>
      <sheetName val="Water_New OD160_H=1.5 m"/>
      <sheetName val="Water_New OD160_H=2.0 m"/>
      <sheetName val="Water_New OD160_H=2.5 m"/>
      <sheetName val="Water_New OD200_H=1.5 m"/>
      <sheetName val="Water_New OD200_H=2.0 m"/>
      <sheetName val="Water_New OD200_H=2.5 m"/>
      <sheetName val="Sheet16"/>
      <sheetName val="Water_Rehab OD63_H=1.5 m"/>
      <sheetName val="Water_Rehab OD90_H=1.5 m"/>
      <sheetName val="Water_Rehab OD90_H=2.0 m"/>
      <sheetName val="Water_Rehab OD90_H=2.5 m"/>
      <sheetName val="Water_Rehab OD110_H=1.5 m"/>
      <sheetName val="Water_Rehab OD110_H=2.0 m"/>
      <sheetName val="Water_Rehab OD110_H=2.5 m"/>
      <sheetName val="Water_Rehab OD160_H=1.5 m"/>
      <sheetName val="Water_Rehab Net_OD160_H=2.0 m"/>
      <sheetName val="Water_Rehab OD160_H=2.5 m"/>
      <sheetName val="Water_Rehab OD200_H=1.5 m"/>
      <sheetName val="Water_Rehab OD200_H=2.0 m"/>
      <sheetName val="Water_Rehab OD200_H=2.5 m"/>
      <sheetName val="Baza date APA"/>
      <sheetName val="liste APA"/>
      <sheetName val="WATER_Reinstatement"/>
      <sheetName val="Sew_New_PVC_Dn250_H=1.5 m"/>
      <sheetName val="Sew_New_PVC_Dn250_H=2.0 m"/>
      <sheetName val="Sew_New_PVC_Dn250_H=2.5 m"/>
      <sheetName val="Sew_New_PVC_Dn250_H=3.0 m"/>
      <sheetName val="Sew_New_PVC_Dn300_H=1.5 m"/>
      <sheetName val="Sew_New_PVC_Dn300_H=2.0 m"/>
      <sheetName val="Sew_New_PVC_Dn300_H=2.5 m"/>
      <sheetName val="Sew_New_PVC_Dn300_H=3.0 m"/>
      <sheetName val="Sew_New_PP_Dn250_H=1.5 m"/>
      <sheetName val="Sew_New_PP_Dn250_H=2.0 m"/>
      <sheetName val="Sew_New_PP_Dn250_H=2.5 m"/>
      <sheetName val="Sew_New_PP_Dn250_H=3.0 m"/>
      <sheetName val="Sew_Rehab_PVC_Dn250_H=1.5 m"/>
      <sheetName val="Sew_Rehab_PVC_Dn250_H=2.0 m"/>
      <sheetName val="Sew_Rehab_PVC_Dn250_H=2.5 m"/>
      <sheetName val="Sew_Rehab_PVC_Dn250_H=3.0 m"/>
      <sheetName val="Sew_Rehab_PVC_Dn300_H=2.0 m"/>
      <sheetName val="Sew_Rehab_PVC_Dn300_H=2.5 m"/>
      <sheetName val="Sew_Rehab_PVC_Dn300_H=3.0 m"/>
      <sheetName val="Baza date CANAL"/>
      <sheetName val="Pret Unitar REFACERE"/>
      <sheetName val="liste CANAL"/>
      <sheetName val="SEWERAGE_Reinstatement"/>
      <sheetName val="Pret Unitar REFACERE_Comparatie"/>
    </sheetNames>
    <sheetDataSet>
      <sheetData sheetId="0"/>
      <sheetData sheetId="1"/>
      <sheetData sheetId="2"/>
      <sheetData sheetId="3"/>
      <sheetData sheetId="4"/>
      <sheetData sheetId="5">
        <row r="14">
          <cell r="Y14">
            <v>83.492860548639413</v>
          </cell>
          <cell r="AO14">
            <v>113.00820123534076</v>
          </cell>
        </row>
        <row r="15">
          <cell r="Y15">
            <v>131.78988016053441</v>
          </cell>
          <cell r="AO15">
            <v>177.0721406050599</v>
          </cell>
        </row>
      </sheetData>
      <sheetData sheetId="6">
        <row r="14">
          <cell r="Z14">
            <v>93.824972449754128</v>
          </cell>
          <cell r="AM14">
            <v>121.22092795794639</v>
          </cell>
        </row>
      </sheetData>
      <sheetData sheetId="7">
        <row r="14">
          <cell r="AA14">
            <v>99.677956326766349</v>
          </cell>
          <cell r="AO14">
            <v>175.55064286493067</v>
          </cell>
        </row>
        <row r="15">
          <cell r="AA15">
            <v>155.69980237134871</v>
          </cell>
          <cell r="AO15">
            <v>210.5413238223789</v>
          </cell>
        </row>
      </sheetData>
      <sheetData sheetId="8">
        <row r="15">
          <cell r="Y15">
            <v>112.43573587606535</v>
          </cell>
          <cell r="AL15">
            <v>142.37675844064574</v>
          </cell>
        </row>
        <row r="16">
          <cell r="Y16">
            <v>163.53373166148413</v>
          </cell>
          <cell r="AL16">
            <v>208.91920589702193</v>
          </cell>
        </row>
      </sheetData>
      <sheetData sheetId="9">
        <row r="18">
          <cell r="Y18">
            <v>137.93758806268826</v>
          </cell>
          <cell r="AN18">
            <v>208.22549275338704</v>
          </cell>
        </row>
        <row r="19">
          <cell r="Y19">
            <v>221.42289190532594</v>
          </cell>
          <cell r="AN19">
            <v>366.99450265040508</v>
          </cell>
        </row>
      </sheetData>
      <sheetData sheetId="10">
        <row r="18">
          <cell r="Y18">
            <v>159.52100555417655</v>
          </cell>
          <cell r="AL18">
            <v>217.38994629195261</v>
          </cell>
        </row>
        <row r="19">
          <cell r="Y19">
            <v>231.83793955095319</v>
          </cell>
          <cell r="AL19">
            <v>441.08300597060042</v>
          </cell>
        </row>
      </sheetData>
      <sheetData sheetId="11">
        <row r="17">
          <cell r="AA17">
            <v>207.35300303155108</v>
          </cell>
          <cell r="AN17">
            <v>321.49662120326707</v>
          </cell>
        </row>
      </sheetData>
      <sheetData sheetId="12">
        <row r="19">
          <cell r="Z19">
            <v>178.21218247621562</v>
          </cell>
          <cell r="AM19">
            <v>262.07457516958118</v>
          </cell>
        </row>
      </sheetData>
      <sheetData sheetId="13">
        <row r="18">
          <cell r="Z18">
            <v>193.71577276000326</v>
          </cell>
          <cell r="AN18">
            <v>273.28103809292406</v>
          </cell>
        </row>
      </sheetData>
      <sheetData sheetId="14">
        <row r="18">
          <cell r="Z18">
            <v>162.55578004698563</v>
          </cell>
          <cell r="AO18">
            <v>221.78473849350098</v>
          </cell>
        </row>
      </sheetData>
      <sheetData sheetId="15">
        <row r="18">
          <cell r="AM18">
            <v>248.97200994815225</v>
          </cell>
        </row>
        <row r="19">
          <cell r="AA19">
            <v>203.81410182518758</v>
          </cell>
        </row>
      </sheetData>
      <sheetData sheetId="16">
        <row r="18">
          <cell r="Z18">
            <v>213.9367459340333</v>
          </cell>
          <cell r="AM18">
            <v>268.42545871191044</v>
          </cell>
        </row>
      </sheetData>
      <sheetData sheetId="17">
        <row r="18">
          <cell r="Z18">
            <v>228.83761334626683</v>
          </cell>
          <cell r="AL18">
            <v>264.87254818572956</v>
          </cell>
        </row>
      </sheetData>
      <sheetData sheetId="18"/>
      <sheetData sheetId="19">
        <row r="16">
          <cell r="Z16">
            <v>127.79080483137662</v>
          </cell>
          <cell r="AM16">
            <v>188.21960675412203</v>
          </cell>
        </row>
      </sheetData>
      <sheetData sheetId="20">
        <row r="16">
          <cell r="Z16">
            <v>158.17521629455811</v>
          </cell>
          <cell r="AM16">
            <v>254.28511540366955</v>
          </cell>
        </row>
      </sheetData>
      <sheetData sheetId="21">
        <row r="16">
          <cell r="Z16">
            <v>185.36477950700399</v>
          </cell>
          <cell r="AM16">
            <v>335.10767985062495</v>
          </cell>
        </row>
      </sheetData>
      <sheetData sheetId="22">
        <row r="16">
          <cell r="Z16">
            <v>335.83423509685781</v>
          </cell>
          <cell r="AM16">
            <v>526.70258119300195</v>
          </cell>
        </row>
      </sheetData>
      <sheetData sheetId="23">
        <row r="19">
          <cell r="Z19">
            <v>141.56660167222802</v>
          </cell>
          <cell r="AN19">
            <v>243.37508142614652</v>
          </cell>
        </row>
        <row r="20">
          <cell r="AN20">
            <v>465.06559470746265</v>
          </cell>
        </row>
      </sheetData>
      <sheetData sheetId="24">
        <row r="19">
          <cell r="Y19">
            <v>162.37188806315748</v>
          </cell>
          <cell r="AN19">
            <v>276.72411762478089</v>
          </cell>
        </row>
        <row r="20">
          <cell r="Y20">
            <v>211.97972535068595</v>
          </cell>
          <cell r="AN20">
            <v>459.92871846104435</v>
          </cell>
        </row>
      </sheetData>
      <sheetData sheetId="25">
        <row r="16">
          <cell r="AN16">
            <v>413.9181736104378</v>
          </cell>
        </row>
        <row r="18">
          <cell r="Y18">
            <v>208.36696284632802</v>
          </cell>
        </row>
        <row r="19">
          <cell r="Y19">
            <v>245.29580173008361</v>
          </cell>
        </row>
      </sheetData>
      <sheetData sheetId="26">
        <row r="17">
          <cell r="Z17">
            <v>260.92873134638285</v>
          </cell>
          <cell r="AM17">
            <v>377.13790147861681</v>
          </cell>
        </row>
      </sheetData>
      <sheetData sheetId="27">
        <row r="19">
          <cell r="Z19">
            <v>238.75403197419513</v>
          </cell>
          <cell r="AO19">
            <v>410.7456805204996</v>
          </cell>
        </row>
        <row r="20">
          <cell r="Z20">
            <v>351.17729338645967</v>
          </cell>
          <cell r="AO20">
            <v>521.1162773888293</v>
          </cell>
        </row>
      </sheetData>
      <sheetData sheetId="28">
        <row r="18">
          <cell r="AA18">
            <v>410.25813872527732</v>
          </cell>
          <cell r="AN18">
            <v>571.35294558985197</v>
          </cell>
        </row>
      </sheetData>
      <sheetData sheetId="29">
        <row r="18">
          <cell r="AA18">
            <v>291.66008809303537</v>
          </cell>
          <cell r="AM18">
            <v>451.9520865913147</v>
          </cell>
        </row>
      </sheetData>
      <sheetData sheetId="30">
        <row r="18">
          <cell r="Z18">
            <v>309.36136857845918</v>
          </cell>
          <cell r="AL18">
            <v>495.76850715714272</v>
          </cell>
        </row>
      </sheetData>
      <sheetData sheetId="31">
        <row r="18">
          <cell r="AL18">
            <v>562.24995014018498</v>
          </cell>
        </row>
        <row r="19">
          <cell r="Y19">
            <v>520.36415727336578</v>
          </cell>
        </row>
      </sheetData>
      <sheetData sheetId="32"/>
      <sheetData sheetId="33"/>
      <sheetData sheetId="34">
        <row r="20">
          <cell r="C20">
            <v>167.28633975934412</v>
          </cell>
          <cell r="P20">
            <v>164.01041731565468</v>
          </cell>
          <cell r="AA20">
            <v>82.936542797695623</v>
          </cell>
          <cell r="AL20">
            <v>34.229193013075353</v>
          </cell>
        </row>
      </sheetData>
      <sheetData sheetId="35">
        <row r="14">
          <cell r="Y14">
            <v>173.84832297654842</v>
          </cell>
        </row>
        <row r="15">
          <cell r="Y15">
            <v>359.82361462823815</v>
          </cell>
          <cell r="AQ15">
            <v>246.02051636390308</v>
          </cell>
        </row>
        <row r="16">
          <cell r="AQ16">
            <v>460.84829748824859</v>
          </cell>
        </row>
      </sheetData>
      <sheetData sheetId="36">
        <row r="14">
          <cell r="Z14">
            <v>215.52260612136331</v>
          </cell>
          <cell r="AT14">
            <v>312.31517611949477</v>
          </cell>
        </row>
        <row r="15">
          <cell r="Z15">
            <v>388.41390488774215</v>
          </cell>
          <cell r="AT15">
            <v>503.71790288363741</v>
          </cell>
        </row>
      </sheetData>
      <sheetData sheetId="37">
        <row r="14">
          <cell r="Y14">
            <v>222.279449106984</v>
          </cell>
          <cell r="AQ14">
            <v>275.3350864395473</v>
          </cell>
        </row>
        <row r="15">
          <cell r="Y15">
            <v>483.86028542107567</v>
          </cell>
          <cell r="AQ15">
            <v>552.9590302150782</v>
          </cell>
        </row>
      </sheetData>
      <sheetData sheetId="38">
        <row r="14">
          <cell r="Y14">
            <v>266.35785405495983</v>
          </cell>
          <cell r="AQ14">
            <v>330.75691788652654</v>
          </cell>
        </row>
        <row r="15">
          <cell r="Y15">
            <v>506.10364396221922</v>
          </cell>
          <cell r="AQ15">
            <v>622.92820736182318</v>
          </cell>
        </row>
      </sheetData>
      <sheetData sheetId="39">
        <row r="13">
          <cell r="Z13">
            <v>400.70607261471321</v>
          </cell>
          <cell r="AL13">
            <v>537.83002719540741</v>
          </cell>
        </row>
      </sheetData>
      <sheetData sheetId="40">
        <row r="13">
          <cell r="Z13">
            <v>355.91038009774752</v>
          </cell>
          <cell r="AL13">
            <v>471.2697520826294</v>
          </cell>
        </row>
      </sheetData>
      <sheetData sheetId="41">
        <row r="14">
          <cell r="AA14">
            <v>375.23942048783476</v>
          </cell>
        </row>
        <row r="15">
          <cell r="AM15">
            <v>522.17630055490497</v>
          </cell>
        </row>
      </sheetData>
      <sheetData sheetId="42">
        <row r="14">
          <cell r="Z14">
            <v>439.10686563673551</v>
          </cell>
          <cell r="AL14">
            <v>598.30785137341854</v>
          </cell>
        </row>
      </sheetData>
      <sheetData sheetId="43">
        <row r="12">
          <cell r="AA12">
            <v>260.73618235853144</v>
          </cell>
          <cell r="AN12">
            <v>334.84234872107658</v>
          </cell>
        </row>
      </sheetData>
      <sheetData sheetId="44">
        <row r="12">
          <cell r="AA12">
            <v>265.82969444024047</v>
          </cell>
          <cell r="AM12">
            <v>328.70595596497509</v>
          </cell>
        </row>
      </sheetData>
      <sheetData sheetId="45">
        <row r="12">
          <cell r="AA12">
            <v>272.10979049059046</v>
          </cell>
          <cell r="AN12">
            <v>379.36701246256354</v>
          </cell>
        </row>
      </sheetData>
      <sheetData sheetId="46">
        <row r="12">
          <cell r="AA12">
            <v>278.94002998648591</v>
          </cell>
        </row>
        <row r="14">
          <cell r="AM14">
            <v>371.88749058958103</v>
          </cell>
        </row>
        <row r="15">
          <cell r="AM15">
            <v>484.04441243208475</v>
          </cell>
        </row>
      </sheetData>
      <sheetData sheetId="47">
        <row r="12">
          <cell r="Y12">
            <v>444.22074478562155</v>
          </cell>
        </row>
        <row r="13">
          <cell r="AL13">
            <v>600.98363722755653</v>
          </cell>
        </row>
      </sheetData>
      <sheetData sheetId="48">
        <row r="15">
          <cell r="Y15">
            <v>505.39714451413511</v>
          </cell>
          <cell r="AL15">
            <v>709.05277502411172</v>
          </cell>
        </row>
        <row r="16">
          <cell r="Y16">
            <v>696.48234677317714</v>
          </cell>
          <cell r="AL16">
            <v>1111.2510517993899</v>
          </cell>
        </row>
      </sheetData>
      <sheetData sheetId="49">
        <row r="15">
          <cell r="Y15">
            <v>329.468081692574</v>
          </cell>
          <cell r="AM15">
            <v>425.0198132716539</v>
          </cell>
        </row>
        <row r="16">
          <cell r="Y16">
            <v>742.83303363228583</v>
          </cell>
          <cell r="AM16">
            <v>1114.2922237418863</v>
          </cell>
        </row>
      </sheetData>
      <sheetData sheetId="50">
        <row r="14">
          <cell r="X14">
            <v>454.06342502342312</v>
          </cell>
        </row>
        <row r="15">
          <cell r="X15">
            <v>868.83216615731476</v>
          </cell>
          <cell r="AL15">
            <v>498.94418835081882</v>
          </cell>
        </row>
        <row r="16">
          <cell r="AL16">
            <v>1199.1055156260882</v>
          </cell>
        </row>
      </sheetData>
      <sheetData sheetId="51">
        <row r="15">
          <cell r="Y15">
            <v>560.83044430808297</v>
          </cell>
          <cell r="AL15">
            <v>772.79102561999616</v>
          </cell>
        </row>
        <row r="16">
          <cell r="Y16">
            <v>824.52315131364242</v>
          </cell>
          <cell r="AL16">
            <v>1154.6258117429932</v>
          </cell>
        </row>
      </sheetData>
      <sheetData sheetId="52">
        <row r="15">
          <cell r="Y15">
            <v>526.77347567246659</v>
          </cell>
          <cell r="AL15">
            <v>804.49732291662758</v>
          </cell>
        </row>
        <row r="16">
          <cell r="Y16">
            <v>866.78342664176796</v>
          </cell>
          <cell r="AL16">
            <v>1268.4143207142504</v>
          </cell>
        </row>
      </sheetData>
      <sheetData sheetId="53">
        <row r="12">
          <cell r="Y12">
            <v>944.25109620212413</v>
          </cell>
        </row>
        <row r="13">
          <cell r="AL13">
            <v>1279.0218270073792</v>
          </cell>
        </row>
      </sheetData>
      <sheetData sheetId="54"/>
      <sheetData sheetId="55"/>
      <sheetData sheetId="56"/>
      <sheetData sheetId="57">
        <row r="18">
          <cell r="D18">
            <v>174.76598165888828</v>
          </cell>
          <cell r="Q18">
            <v>173.73799860249881</v>
          </cell>
          <cell r="AD18">
            <v>73.219438056153251</v>
          </cell>
          <cell r="AQ18">
            <v>47.718076944013582</v>
          </cell>
        </row>
      </sheetData>
      <sheetData sheetId="5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L51"/>
  <sheetViews>
    <sheetView zoomScale="87" zoomScaleNormal="87" workbookViewId="0">
      <selection activeCell="N8" sqref="N8"/>
    </sheetView>
  </sheetViews>
  <sheetFormatPr baseColWidth="10" defaultColWidth="8.83203125" defaultRowHeight="15" x14ac:dyDescent="0.2"/>
  <cols>
    <col min="2" max="2" width="10.83203125" customWidth="1"/>
    <col min="4" max="5" width="16.5" customWidth="1"/>
    <col min="6" max="6" width="12.33203125" customWidth="1"/>
    <col min="7" max="7" width="13.83203125" style="47" customWidth="1"/>
    <col min="8" max="8" width="13.33203125" style="47" customWidth="1"/>
    <col min="9" max="9" width="13.1640625" style="47" customWidth="1"/>
  </cols>
  <sheetData>
    <row r="2" spans="1:9" x14ac:dyDescent="0.2">
      <c r="E2" s="154" t="s">
        <v>119</v>
      </c>
      <c r="F2" s="154"/>
      <c r="G2" s="154"/>
      <c r="H2" s="154"/>
      <c r="I2" s="154"/>
    </row>
    <row r="3" spans="1:9" x14ac:dyDescent="0.2">
      <c r="E3" s="102"/>
      <c r="F3" s="102"/>
      <c r="G3" s="102"/>
      <c r="H3" s="102"/>
      <c r="I3" s="102"/>
    </row>
    <row r="4" spans="1:9" ht="96" x14ac:dyDescent="0.2">
      <c r="E4" s="144" t="str">
        <f>E29</f>
        <v>Unit Cost NETWORK + REINSTATE-MENT Weighted average 
Highest=70%
Lowest=30%</v>
      </c>
      <c r="F4" s="102"/>
      <c r="G4" s="144" t="str">
        <f>G29</f>
        <v>Unit Cost NETWORK + REINSTATE-MENT</v>
      </c>
      <c r="H4" s="102"/>
      <c r="I4" s="144" t="str">
        <f>I29</f>
        <v>Unit Cost NETWORK + REINSTATE-MENT</v>
      </c>
    </row>
    <row r="5" spans="1:9" ht="16" x14ac:dyDescent="0.2">
      <c r="E5" s="146" t="s">
        <v>118</v>
      </c>
      <c r="F5" s="102"/>
      <c r="G5" s="146" t="s">
        <v>118</v>
      </c>
      <c r="H5" s="145"/>
      <c r="I5" s="146" t="s">
        <v>118</v>
      </c>
    </row>
    <row r="6" spans="1:9" ht="16" x14ac:dyDescent="0.2">
      <c r="G6" s="144" t="s">
        <v>112</v>
      </c>
      <c r="H6" s="145"/>
      <c r="I6" s="144" t="s">
        <v>113</v>
      </c>
    </row>
    <row r="7" spans="1:9" x14ac:dyDescent="0.2">
      <c r="G7" s="47">
        <v>0.7</v>
      </c>
      <c r="I7" s="47">
        <v>0.3</v>
      </c>
    </row>
    <row r="8" spans="1:9" x14ac:dyDescent="0.2">
      <c r="A8" s="112">
        <v>0.1</v>
      </c>
      <c r="B8" s="14" t="s">
        <v>22</v>
      </c>
      <c r="C8" s="15">
        <v>1.5</v>
      </c>
      <c r="D8" s="16" t="s">
        <v>16</v>
      </c>
      <c r="E8" s="47">
        <f>G8*$G$7+I8*$I$7</f>
        <v>453.19287148877493</v>
      </c>
      <c r="G8" s="47">
        <f>'WATER_NEW - Matrix'!N41</f>
        <v>500.82357445788034</v>
      </c>
      <c r="I8" s="47">
        <f>'WATER_NEW - Matrix'!U41</f>
        <v>342.05456456086233</v>
      </c>
    </row>
    <row r="9" spans="1:9" x14ac:dyDescent="0.2">
      <c r="A9" s="112">
        <v>0.5</v>
      </c>
      <c r="B9" s="14" t="s">
        <v>22</v>
      </c>
      <c r="C9" s="15">
        <v>1.5</v>
      </c>
      <c r="D9" s="16" t="s">
        <v>17</v>
      </c>
      <c r="E9" s="47">
        <f t="shared" ref="E9:E11" si="0">G9*$G$7+I9*$I$7</f>
        <v>450.57213353382338</v>
      </c>
      <c r="G9" s="47">
        <f>'WATER_NEW - Matrix'!N42</f>
        <v>498.20283650292879</v>
      </c>
      <c r="I9" s="47">
        <f>'WATER_NEW - Matrix'!U42</f>
        <v>339.43382660591078</v>
      </c>
    </row>
    <row r="10" spans="1:9" x14ac:dyDescent="0.2">
      <c r="A10" s="112">
        <v>0.2</v>
      </c>
      <c r="B10" s="14" t="s">
        <v>22</v>
      </c>
      <c r="C10" s="15">
        <v>1.5</v>
      </c>
      <c r="D10" s="16" t="s">
        <v>18</v>
      </c>
      <c r="E10" s="47">
        <f t="shared" si="0"/>
        <v>385.71303391945617</v>
      </c>
      <c r="G10" s="47">
        <f>'WATER_NEW - Matrix'!N43</f>
        <v>433.34373688856158</v>
      </c>
      <c r="I10" s="47">
        <f>'WATER_NEW - Matrix'!U43</f>
        <v>274.57472699154357</v>
      </c>
    </row>
    <row r="11" spans="1:9" x14ac:dyDescent="0.2">
      <c r="A11" s="112">
        <v>0.2</v>
      </c>
      <c r="B11" s="14" t="s">
        <v>22</v>
      </c>
      <c r="C11" s="15">
        <v>1.5</v>
      </c>
      <c r="D11" s="16" t="s">
        <v>19</v>
      </c>
      <c r="E11" s="47">
        <f t="shared" si="0"/>
        <v>346.74715409175991</v>
      </c>
      <c r="G11" s="47">
        <f>'WATER_NEW - Matrix'!N44</f>
        <v>394.37785706086538</v>
      </c>
      <c r="I11" s="47">
        <f>'WATER_NEW - Matrix'!U44</f>
        <v>235.60884716384732</v>
      </c>
    </row>
    <row r="12" spans="1:9" ht="14.25" customHeight="1" x14ac:dyDescent="0.2">
      <c r="F12" s="149"/>
      <c r="G12" s="149"/>
      <c r="H12" s="149"/>
    </row>
    <row r="13" spans="1:9" ht="39.75" customHeight="1" x14ac:dyDescent="0.2">
      <c r="B13" s="155" t="s">
        <v>120</v>
      </c>
      <c r="C13" s="155"/>
      <c r="D13" s="155"/>
      <c r="E13" s="147">
        <f>E8*A8+E9*A9+E10*A10+E11*A11</f>
        <v>417.09739151803245</v>
      </c>
      <c r="F13" s="147"/>
      <c r="G13" s="147"/>
      <c r="H13" s="147"/>
      <c r="I13" s="147"/>
    </row>
    <row r="16" spans="1:9" x14ac:dyDescent="0.2">
      <c r="E16" s="154" t="s">
        <v>121</v>
      </c>
      <c r="F16" s="154"/>
      <c r="G16" s="154"/>
      <c r="H16" s="154"/>
      <c r="I16" s="154"/>
    </row>
    <row r="17" spans="1:9" ht="96" x14ac:dyDescent="0.2">
      <c r="E17" s="144" t="s">
        <v>114</v>
      </c>
      <c r="F17" s="102"/>
      <c r="G17" s="144" t="s">
        <v>111</v>
      </c>
      <c r="H17" s="102"/>
      <c r="I17" s="144" t="s">
        <v>111</v>
      </c>
    </row>
    <row r="18" spans="1:9" ht="16" x14ac:dyDescent="0.2">
      <c r="E18" s="146" t="s">
        <v>118</v>
      </c>
      <c r="F18" s="102"/>
      <c r="G18" s="146" t="s">
        <v>118</v>
      </c>
      <c r="H18" s="145"/>
      <c r="I18" s="146" t="s">
        <v>118</v>
      </c>
    </row>
    <row r="19" spans="1:9" ht="16" x14ac:dyDescent="0.2">
      <c r="G19" s="144" t="s">
        <v>112</v>
      </c>
      <c r="H19" s="145"/>
      <c r="I19" s="144" t="s">
        <v>113</v>
      </c>
    </row>
    <row r="20" spans="1:9" x14ac:dyDescent="0.2">
      <c r="A20" s="112">
        <v>0.1</v>
      </c>
      <c r="B20" s="74" t="s">
        <v>40</v>
      </c>
      <c r="C20" s="54">
        <v>2.5</v>
      </c>
      <c r="D20" s="16" t="s">
        <v>16</v>
      </c>
      <c r="E20" s="47">
        <f>G20*$G$7+I20*$I$7</f>
        <v>679.39102507308485</v>
      </c>
      <c r="G20" s="47">
        <f>'SEWERAGE_Matrix - New PVC'!N17</f>
        <v>762.67820820574411</v>
      </c>
      <c r="I20" s="47">
        <f>'SEWERAGE_Matrix - New PVC'!U17</f>
        <v>485.05426443021327</v>
      </c>
    </row>
    <row r="21" spans="1:9" x14ac:dyDescent="0.2">
      <c r="A21" s="112">
        <v>0.5</v>
      </c>
      <c r="B21" s="74" t="s">
        <v>40</v>
      </c>
      <c r="C21" s="54">
        <v>2.5</v>
      </c>
      <c r="D21" s="16" t="s">
        <v>17</v>
      </c>
      <c r="E21" s="47">
        <f t="shared" ref="E21:E23" si="1">G21*$G$7+I21*$I$7</f>
        <v>678.15744540541755</v>
      </c>
      <c r="G21" s="47">
        <f>'SEWERAGE_Matrix - New PVC'!N18</f>
        <v>761.44462853807681</v>
      </c>
      <c r="I21" s="47">
        <f>'SEWERAGE_Matrix - New PVC'!U18</f>
        <v>483.82068476254585</v>
      </c>
    </row>
    <row r="22" spans="1:9" x14ac:dyDescent="0.2">
      <c r="A22" s="112">
        <v>0.2</v>
      </c>
      <c r="B22" s="74" t="s">
        <v>40</v>
      </c>
      <c r="C22" s="54">
        <v>2.5</v>
      </c>
      <c r="D22" s="16" t="s">
        <v>18</v>
      </c>
      <c r="E22" s="47">
        <f t="shared" si="1"/>
        <v>557.53517274980277</v>
      </c>
      <c r="G22" s="47">
        <f>'SEWERAGE_Matrix - New PVC'!N19</f>
        <v>640.82235588246215</v>
      </c>
      <c r="I22" s="47">
        <f>'SEWERAGE_Matrix - New PVC'!U19</f>
        <v>363.19841210693119</v>
      </c>
    </row>
    <row r="23" spans="1:9" x14ac:dyDescent="0.2">
      <c r="A23" s="112">
        <v>0.2</v>
      </c>
      <c r="B23" s="74" t="s">
        <v>40</v>
      </c>
      <c r="C23" s="54">
        <v>2.5</v>
      </c>
      <c r="D23" s="16" t="s">
        <v>19</v>
      </c>
      <c r="E23" s="47">
        <f t="shared" si="1"/>
        <v>526.93353941523515</v>
      </c>
      <c r="G23" s="47">
        <f>'SEWERAGE_Matrix - New PVC'!N20</f>
        <v>610.22072254789452</v>
      </c>
      <c r="I23" s="47">
        <f>'SEWERAGE_Matrix - New PVC'!U20</f>
        <v>332.59677877236356</v>
      </c>
    </row>
    <row r="25" spans="1:9" ht="40.5" customHeight="1" x14ac:dyDescent="0.2">
      <c r="B25" s="155" t="s">
        <v>122</v>
      </c>
      <c r="C25" s="155"/>
      <c r="D25" s="155"/>
      <c r="E25" s="148">
        <f>E20*A20+E21*A21+E22*A22+E23*A23</f>
        <v>623.9115676430248</v>
      </c>
    </row>
    <row r="27" spans="1:9" x14ac:dyDescent="0.2">
      <c r="E27" s="154" t="s">
        <v>110</v>
      </c>
      <c r="F27" s="154"/>
      <c r="G27" s="154"/>
      <c r="H27" s="154"/>
      <c r="I27" s="154"/>
    </row>
    <row r="29" spans="1:9" ht="105" customHeight="1" x14ac:dyDescent="0.2">
      <c r="E29" s="106" t="s">
        <v>114</v>
      </c>
      <c r="F29" s="11"/>
      <c r="G29" s="144" t="s">
        <v>111</v>
      </c>
      <c r="H29" s="145"/>
      <c r="I29" s="144" t="s">
        <v>111</v>
      </c>
    </row>
    <row r="30" spans="1:9" ht="18.75" customHeight="1" x14ac:dyDescent="0.2">
      <c r="E30" s="106" t="s">
        <v>118</v>
      </c>
      <c r="F30" s="11"/>
      <c r="G30" s="106" t="s">
        <v>118</v>
      </c>
      <c r="H30" s="145"/>
      <c r="I30" s="106" t="s">
        <v>118</v>
      </c>
    </row>
    <row r="31" spans="1:9" ht="16" x14ac:dyDescent="0.2">
      <c r="G31" s="144" t="s">
        <v>112</v>
      </c>
      <c r="H31" s="145"/>
      <c r="I31" s="144" t="s">
        <v>113</v>
      </c>
    </row>
    <row r="32" spans="1:9" x14ac:dyDescent="0.2">
      <c r="G32" s="47">
        <v>0.7</v>
      </c>
      <c r="I32" s="47">
        <v>0.3</v>
      </c>
    </row>
    <row r="33" spans="1:12" x14ac:dyDescent="0.2">
      <c r="A33" s="112">
        <v>0.1</v>
      </c>
      <c r="B33" s="74" t="s">
        <v>40</v>
      </c>
      <c r="C33" s="54">
        <v>2.5</v>
      </c>
      <c r="D33" s="16" t="s">
        <v>16</v>
      </c>
      <c r="E33" s="47">
        <f>G33*$G$32+I33*$I$32</f>
        <v>1212.5736446996721</v>
      </c>
      <c r="G33" s="47">
        <f>'SEWERAGE_Matrix - Rehab PVC'!N17</f>
        <v>1324.0114017325523</v>
      </c>
      <c r="I33" s="47">
        <f>'SEWERAGE_Matrix - Rehab PVC'!V17</f>
        <v>952.55221162295175</v>
      </c>
      <c r="L33" s="47"/>
    </row>
    <row r="34" spans="1:12" x14ac:dyDescent="0.2">
      <c r="A34" s="112">
        <v>0.5</v>
      </c>
      <c r="B34" s="74" t="s">
        <v>40</v>
      </c>
      <c r="C34" s="54">
        <v>2.5</v>
      </c>
      <c r="D34" s="16" t="s">
        <v>17</v>
      </c>
      <c r="E34" s="47">
        <f t="shared" ref="E34:E41" si="2">G34*$G$32+I34*$I$32</f>
        <v>1211.3400650320048</v>
      </c>
      <c r="G34" s="47">
        <f>'SEWERAGE_Matrix - Rehab PVC'!N18</f>
        <v>1322.777822064885</v>
      </c>
      <c r="I34" s="47">
        <f>'SEWERAGE_Matrix - Rehab PVC'!V18</f>
        <v>951.31863195528445</v>
      </c>
    </row>
    <row r="35" spans="1:12" x14ac:dyDescent="0.2">
      <c r="A35" s="112">
        <v>0.2</v>
      </c>
      <c r="B35" s="74" t="s">
        <v>40</v>
      </c>
      <c r="C35" s="54">
        <v>2.5</v>
      </c>
      <c r="D35" s="16" t="s">
        <v>18</v>
      </c>
      <c r="E35" s="47">
        <f t="shared" si="2"/>
        <v>1090.71779237639</v>
      </c>
      <c r="G35" s="47">
        <f>'SEWERAGE_Matrix - Rehab PVC'!N19</f>
        <v>1202.1555494092702</v>
      </c>
      <c r="I35" s="47">
        <f>'SEWERAGE_Matrix - Rehab PVC'!V19</f>
        <v>830.69635929966978</v>
      </c>
    </row>
    <row r="36" spans="1:12" x14ac:dyDescent="0.2">
      <c r="A36" s="112">
        <v>0.2</v>
      </c>
      <c r="B36" s="74" t="s">
        <v>40</v>
      </c>
      <c r="C36" s="54">
        <v>2.5</v>
      </c>
      <c r="D36" s="16" t="s">
        <v>19</v>
      </c>
      <c r="E36" s="47">
        <f t="shared" si="2"/>
        <v>1060.1161590418224</v>
      </c>
      <c r="G36" s="47">
        <f>'SEWERAGE_Matrix - Rehab PVC'!N20</f>
        <v>1171.5539160747026</v>
      </c>
      <c r="I36" s="47">
        <f>'SEWERAGE_Matrix - Rehab PVC'!V20</f>
        <v>800.09472596510216</v>
      </c>
    </row>
    <row r="38" spans="1:12" x14ac:dyDescent="0.2">
      <c r="A38" s="112">
        <v>0.1</v>
      </c>
      <c r="B38" s="74" t="s">
        <v>41</v>
      </c>
      <c r="C38" s="54">
        <v>2.5</v>
      </c>
      <c r="D38" s="16" t="s">
        <v>16</v>
      </c>
      <c r="E38" s="47">
        <f t="shared" si="2"/>
        <v>1338.9583993656295</v>
      </c>
      <c r="G38" s="47">
        <f>'SEWERAGE_Matrix - Rehab PVC'!N37</f>
        <v>1478.1334987049163</v>
      </c>
      <c r="I38" s="47">
        <f>'SEWERAGE_Matrix - Rehab PVC'!V37</f>
        <v>1014.2165009072935</v>
      </c>
    </row>
    <row r="39" spans="1:12" x14ac:dyDescent="0.2">
      <c r="A39" s="112">
        <v>0.5</v>
      </c>
      <c r="B39" s="74" t="s">
        <v>41</v>
      </c>
      <c r="C39" s="54">
        <v>2.5</v>
      </c>
      <c r="D39" s="16" t="s">
        <v>17</v>
      </c>
      <c r="E39" s="47">
        <f t="shared" si="2"/>
        <v>1337.7248196979622</v>
      </c>
      <c r="G39" s="47">
        <f>'SEWERAGE_Matrix - Rehab PVC'!N38</f>
        <v>1476.899919037249</v>
      </c>
      <c r="I39" s="47">
        <f>'SEWERAGE_Matrix - Rehab PVC'!V38</f>
        <v>1012.9829212396262</v>
      </c>
    </row>
    <row r="40" spans="1:12" x14ac:dyDescent="0.2">
      <c r="A40" s="112">
        <v>0.2</v>
      </c>
      <c r="B40" s="74" t="s">
        <v>41</v>
      </c>
      <c r="C40" s="54">
        <v>2.5</v>
      </c>
      <c r="D40" s="16" t="s">
        <v>18</v>
      </c>
      <c r="E40" s="47">
        <f t="shared" si="2"/>
        <v>1217.1025470423474</v>
      </c>
      <c r="G40" s="47">
        <f>'SEWERAGE_Matrix - Rehab PVC'!N39</f>
        <v>1356.2776463816342</v>
      </c>
      <c r="I40" s="47">
        <f>'SEWERAGE_Matrix - Rehab PVC'!V39</f>
        <v>892.36064858401153</v>
      </c>
    </row>
    <row r="41" spans="1:12" x14ac:dyDescent="0.2">
      <c r="A41" s="112">
        <v>0.2</v>
      </c>
      <c r="B41" s="74" t="s">
        <v>41</v>
      </c>
      <c r="C41" s="54">
        <v>2.5</v>
      </c>
      <c r="D41" s="16" t="s">
        <v>19</v>
      </c>
      <c r="E41" s="47">
        <f t="shared" si="2"/>
        <v>1186.5009137077795</v>
      </c>
      <c r="G41" s="47">
        <f>'SEWERAGE_Matrix - Rehab PVC'!N40</f>
        <v>1325.6760130470666</v>
      </c>
      <c r="I41" s="47">
        <f>'SEWERAGE_Matrix - Rehab PVC'!V40</f>
        <v>861.75901524944391</v>
      </c>
    </row>
    <row r="43" spans="1:12" ht="43.5" customHeight="1" x14ac:dyDescent="0.2">
      <c r="B43" s="155" t="s">
        <v>116</v>
      </c>
      <c r="C43" s="155"/>
      <c r="D43" s="155"/>
      <c r="E43" s="147">
        <f>(E33*A33)+(E34*A34)+(E35*A35)+(E36*A36)</f>
        <v>1157.0941872696121</v>
      </c>
    </row>
    <row r="44" spans="1:12" ht="51" customHeight="1" x14ac:dyDescent="0.2">
      <c r="B44" s="155" t="s">
        <v>117</v>
      </c>
      <c r="C44" s="155"/>
      <c r="D44" s="155"/>
      <c r="E44" s="147">
        <f>(E38*A38)+(E39*A39)+(E40*A40)+(E41*A41)</f>
        <v>1283.4789419355695</v>
      </c>
    </row>
    <row r="46" spans="1:12" ht="41.25" customHeight="1" x14ac:dyDescent="0.2">
      <c r="B46" s="155" t="s">
        <v>115</v>
      </c>
      <c r="C46" s="155"/>
      <c r="D46" s="155"/>
      <c r="E46" s="147">
        <f>(E43+E44)/2</f>
        <v>1220.2865646025907</v>
      </c>
    </row>
    <row r="51" spans="7:9" x14ac:dyDescent="0.2">
      <c r="G51"/>
      <c r="H51"/>
      <c r="I51"/>
    </row>
  </sheetData>
  <mergeCells count="8">
    <mergeCell ref="E27:I27"/>
    <mergeCell ref="B43:D43"/>
    <mergeCell ref="B44:D44"/>
    <mergeCell ref="B46:D46"/>
    <mergeCell ref="E2:I2"/>
    <mergeCell ref="B13:D13"/>
    <mergeCell ref="E16:I16"/>
    <mergeCell ref="B25:D2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sheetPr>
  <dimension ref="A2:N86"/>
  <sheetViews>
    <sheetView tabSelected="1" topLeftCell="A59" zoomScale="75" zoomScaleNormal="75" workbookViewId="0">
      <selection activeCell="J57" sqref="J57"/>
    </sheetView>
  </sheetViews>
  <sheetFormatPr baseColWidth="10" defaultColWidth="8.83203125" defaultRowHeight="15" x14ac:dyDescent="0.2"/>
  <cols>
    <col min="1" max="1" width="29.5" customWidth="1"/>
    <col min="2" max="2" width="14.83203125" style="122" customWidth="1"/>
    <col min="3" max="3" width="99" customWidth="1"/>
    <col min="4" max="4" width="30" customWidth="1"/>
    <col min="5" max="5" width="22.5" customWidth="1"/>
    <col min="14" max="14" width="15.5" customWidth="1"/>
  </cols>
  <sheetData>
    <row r="2" spans="1:14" ht="32" x14ac:dyDescent="0.2">
      <c r="A2" s="11" t="s">
        <v>79</v>
      </c>
      <c r="B2" s="120" t="s">
        <v>80</v>
      </c>
    </row>
    <row r="3" spans="1:14" ht="16" x14ac:dyDescent="0.2">
      <c r="A3" s="121" t="s">
        <v>76</v>
      </c>
      <c r="B3" s="123" t="s">
        <v>81</v>
      </c>
      <c r="C3" s="73" t="s">
        <v>75</v>
      </c>
    </row>
    <row r="4" spans="1:14" x14ac:dyDescent="0.2">
      <c r="A4" s="73" t="s">
        <v>52</v>
      </c>
      <c r="B4" s="124">
        <v>0.4</v>
      </c>
      <c r="C4" s="73" t="s">
        <v>51</v>
      </c>
    </row>
    <row r="5" spans="1:14" ht="29.25" customHeight="1" x14ac:dyDescent="0.2">
      <c r="B5" s="125"/>
      <c r="C5" s="159" t="s">
        <v>47</v>
      </c>
      <c r="D5" s="159"/>
      <c r="E5" s="159"/>
      <c r="F5" s="159"/>
      <c r="G5" s="159"/>
      <c r="H5" s="159"/>
      <c r="I5" s="159"/>
      <c r="J5" s="159"/>
      <c r="K5" s="159"/>
    </row>
    <row r="6" spans="1:14" ht="14.25" customHeight="1" x14ac:dyDescent="0.2">
      <c r="A6" s="73" t="s">
        <v>77</v>
      </c>
      <c r="B6" s="124">
        <v>0</v>
      </c>
      <c r="C6" s="73" t="s">
        <v>78</v>
      </c>
      <c r="D6" s="111"/>
      <c r="E6" s="111"/>
      <c r="F6" s="111"/>
      <c r="G6" s="111"/>
      <c r="H6" s="111"/>
      <c r="I6" s="111"/>
      <c r="J6" s="111"/>
      <c r="K6" s="111"/>
    </row>
    <row r="7" spans="1:14" x14ac:dyDescent="0.2">
      <c r="A7" s="73" t="s">
        <v>49</v>
      </c>
      <c r="B7" s="124">
        <v>0.4</v>
      </c>
      <c r="C7" s="73" t="s">
        <v>50</v>
      </c>
    </row>
    <row r="8" spans="1:14" ht="30.75" customHeight="1" x14ac:dyDescent="0.2">
      <c r="C8" s="159" t="s">
        <v>48</v>
      </c>
      <c r="D8" s="159"/>
      <c r="E8" s="159"/>
      <c r="F8" s="159"/>
      <c r="G8" s="159"/>
      <c r="H8" s="159"/>
      <c r="I8" s="159"/>
      <c r="J8" s="159"/>
      <c r="K8" s="159"/>
    </row>
    <row r="10" spans="1:14" ht="16" x14ac:dyDescent="0.2">
      <c r="A10" s="157" t="s">
        <v>82</v>
      </c>
      <c r="B10" s="132"/>
      <c r="C10" s="158" t="s">
        <v>83</v>
      </c>
      <c r="D10" s="126"/>
      <c r="E10" s="126"/>
      <c r="F10" s="126"/>
      <c r="G10" s="126"/>
      <c r="H10" s="126"/>
      <c r="I10" s="126"/>
      <c r="J10" s="126"/>
      <c r="K10" s="126"/>
      <c r="L10" s="126"/>
      <c r="M10" s="126"/>
      <c r="N10" s="126"/>
    </row>
    <row r="11" spans="1:14" ht="16" x14ac:dyDescent="0.2">
      <c r="A11" s="157"/>
      <c r="B11" s="132"/>
      <c r="C11" s="158"/>
      <c r="D11" s="126"/>
      <c r="E11" s="126"/>
      <c r="F11" s="126"/>
      <c r="G11" s="126"/>
      <c r="H11" s="126"/>
      <c r="I11" s="126"/>
      <c r="J11" s="126"/>
      <c r="K11" s="126"/>
      <c r="L11" s="126"/>
      <c r="M11" s="126"/>
      <c r="N11" s="126"/>
    </row>
    <row r="13" spans="1:14" x14ac:dyDescent="0.2">
      <c r="E13" s="102">
        <v>2021</v>
      </c>
      <c r="F13" s="102">
        <v>2022</v>
      </c>
      <c r="G13" s="102">
        <v>2023</v>
      </c>
      <c r="H13" s="102">
        <v>2024</v>
      </c>
      <c r="I13" s="102">
        <v>2025</v>
      </c>
      <c r="J13" s="102">
        <v>2026</v>
      </c>
    </row>
    <row r="14" spans="1:14" x14ac:dyDescent="0.2">
      <c r="C14" s="11" t="s">
        <v>58</v>
      </c>
      <c r="D14" s="103">
        <v>0.03</v>
      </c>
      <c r="E14" s="104">
        <v>1</v>
      </c>
      <c r="F14" s="103">
        <f>(100%+$D14)*E14</f>
        <v>1.03</v>
      </c>
      <c r="G14" s="103">
        <f t="shared" ref="G14:J14" si="0">(100%+$D14)*F14</f>
        <v>1.0609</v>
      </c>
      <c r="H14" s="103">
        <f t="shared" si="0"/>
        <v>1.092727</v>
      </c>
      <c r="I14" s="103">
        <f t="shared" si="0"/>
        <v>1.1255088100000001</v>
      </c>
      <c r="J14" s="103">
        <f t="shared" si="0"/>
        <v>1.1592740743000001</v>
      </c>
    </row>
    <row r="15" spans="1:14" x14ac:dyDescent="0.2">
      <c r="C15" s="11" t="s">
        <v>123</v>
      </c>
      <c r="D15" s="103">
        <f>(F14+G14+H14+I14+J14)/5</f>
        <v>1.0936819768599999</v>
      </c>
      <c r="E15" s="104"/>
      <c r="F15" s="103"/>
      <c r="G15" s="103"/>
      <c r="H15" s="103"/>
      <c r="I15" s="103"/>
      <c r="J15" s="103"/>
    </row>
    <row r="17" spans="1:14" x14ac:dyDescent="0.2">
      <c r="C17" s="11" t="s">
        <v>53</v>
      </c>
      <c r="D17" s="107">
        <v>600000000</v>
      </c>
      <c r="E17" t="s">
        <v>54</v>
      </c>
    </row>
    <row r="18" spans="1:14" x14ac:dyDescent="0.2">
      <c r="D18" s="109"/>
    </row>
    <row r="19" spans="1:14" x14ac:dyDescent="0.2">
      <c r="A19" s="106"/>
      <c r="B19" s="106"/>
      <c r="C19" s="11" t="s">
        <v>46</v>
      </c>
      <c r="D19" s="107">
        <f>D17*0.3</f>
        <v>180000000</v>
      </c>
      <c r="E19" t="s">
        <v>55</v>
      </c>
    </row>
    <row r="20" spans="1:14" x14ac:dyDescent="0.2">
      <c r="A20" s="160" t="s">
        <v>106</v>
      </c>
      <c r="B20" s="114"/>
      <c r="C20" s="161" t="s">
        <v>59</v>
      </c>
      <c r="D20" s="116" t="s">
        <v>107</v>
      </c>
      <c r="E20" s="133" t="s">
        <v>108</v>
      </c>
    </row>
    <row r="21" spans="1:14" x14ac:dyDescent="0.2">
      <c r="A21" s="160"/>
      <c r="B21" s="114"/>
      <c r="C21" s="161"/>
      <c r="D21" s="116">
        <f>D19</f>
        <v>180000000</v>
      </c>
      <c r="E21" s="116">
        <f>D19/D30</f>
        <v>1627.5568126590094</v>
      </c>
    </row>
    <row r="22" spans="1:14" x14ac:dyDescent="0.2">
      <c r="A22" s="106"/>
      <c r="B22" s="106"/>
      <c r="C22" s="108"/>
      <c r="D22" s="110"/>
      <c r="E22" s="109"/>
      <c r="F22" s="156" t="s">
        <v>141</v>
      </c>
      <c r="G22" s="156"/>
      <c r="H22" s="156"/>
      <c r="I22" s="156"/>
      <c r="J22" s="156"/>
      <c r="K22" s="156"/>
      <c r="L22" s="156"/>
      <c r="M22" s="156"/>
      <c r="N22" s="156"/>
    </row>
    <row r="23" spans="1:14" x14ac:dyDescent="0.2">
      <c r="A23" s="106"/>
      <c r="B23" s="106"/>
      <c r="C23" s="113" t="s">
        <v>64</v>
      </c>
      <c r="D23" s="110">
        <f>'NETWOKS UNIT COST CALCULATION '!E13</f>
        <v>417.09739151803245</v>
      </c>
      <c r="E23" s="135"/>
      <c r="F23" s="156"/>
      <c r="G23" s="156"/>
      <c r="H23" s="156"/>
      <c r="I23" s="156"/>
      <c r="J23" s="156"/>
      <c r="K23" s="156"/>
      <c r="L23" s="156"/>
      <c r="M23" s="156"/>
      <c r="N23" s="156"/>
    </row>
    <row r="24" spans="1:14" x14ac:dyDescent="0.2">
      <c r="A24" s="106"/>
      <c r="B24" s="106"/>
      <c r="C24" s="11" t="s">
        <v>65</v>
      </c>
      <c r="D24" s="107">
        <f>D23*D15</f>
        <v>456.17189969859106</v>
      </c>
      <c r="E24" s="109"/>
      <c r="F24" s="156"/>
      <c r="G24" s="156"/>
      <c r="H24" s="156"/>
      <c r="I24" s="156"/>
      <c r="J24" s="156"/>
      <c r="K24" s="156"/>
      <c r="L24" s="156"/>
      <c r="M24" s="156"/>
      <c r="N24" s="156"/>
    </row>
    <row r="25" spans="1:14" x14ac:dyDescent="0.2">
      <c r="A25" s="106"/>
      <c r="B25" s="106"/>
      <c r="C25" s="11" t="s">
        <v>66</v>
      </c>
      <c r="D25" s="107">
        <f>D24*1000/4.9</f>
        <v>93096.306060936942</v>
      </c>
      <c r="E25" s="109"/>
      <c r="F25" s="156"/>
      <c r="G25" s="156"/>
      <c r="H25" s="156"/>
      <c r="I25" s="156"/>
      <c r="J25" s="156"/>
      <c r="K25" s="156"/>
      <c r="L25" s="156"/>
      <c r="M25" s="156"/>
      <c r="N25" s="156"/>
    </row>
    <row r="26" spans="1:14" x14ac:dyDescent="0.2">
      <c r="A26" s="106"/>
      <c r="B26" s="106"/>
      <c r="C26" s="73" t="s">
        <v>125</v>
      </c>
      <c r="D26" s="150">
        <v>400</v>
      </c>
      <c r="E26" s="109"/>
      <c r="F26" s="156"/>
      <c r="G26" s="156"/>
      <c r="H26" s="156"/>
      <c r="I26" s="156"/>
      <c r="J26" s="156"/>
      <c r="K26" s="156"/>
      <c r="L26" s="156"/>
      <c r="M26" s="156"/>
      <c r="N26" s="156"/>
    </row>
    <row r="27" spans="1:14" x14ac:dyDescent="0.2">
      <c r="A27" s="106"/>
      <c r="B27" s="106"/>
      <c r="C27" s="73" t="s">
        <v>126</v>
      </c>
      <c r="D27" s="150">
        <f>D26*D15</f>
        <v>437.47279074399995</v>
      </c>
      <c r="E27" s="109"/>
      <c r="F27" s="156"/>
      <c r="G27" s="156"/>
      <c r="H27" s="156"/>
      <c r="I27" s="156"/>
      <c r="J27" s="156"/>
      <c r="K27" s="156"/>
      <c r="L27" s="156"/>
      <c r="M27" s="156"/>
      <c r="N27" s="156"/>
    </row>
    <row r="28" spans="1:14" x14ac:dyDescent="0.2">
      <c r="A28" s="106"/>
      <c r="B28" s="106"/>
      <c r="C28" s="73" t="s">
        <v>128</v>
      </c>
      <c r="D28" s="150">
        <v>40</v>
      </c>
      <c r="E28" s="109"/>
      <c r="F28" s="156"/>
      <c r="G28" s="156"/>
      <c r="H28" s="156"/>
      <c r="I28" s="156"/>
      <c r="J28" s="156"/>
      <c r="K28" s="156"/>
      <c r="L28" s="156"/>
      <c r="M28" s="156"/>
      <c r="N28" s="156"/>
    </row>
    <row r="29" spans="1:14" x14ac:dyDescent="0.2">
      <c r="A29" s="106"/>
      <c r="B29" s="106"/>
      <c r="C29" s="73" t="s">
        <v>124</v>
      </c>
      <c r="D29" s="150">
        <f>D27*D28</f>
        <v>17498.911629759998</v>
      </c>
      <c r="F29" s="156"/>
      <c r="G29" s="156"/>
      <c r="H29" s="156"/>
      <c r="I29" s="156"/>
      <c r="J29" s="156"/>
      <c r="K29" s="156"/>
      <c r="L29" s="156"/>
      <c r="M29" s="156"/>
      <c r="N29" s="156"/>
    </row>
    <row r="30" spans="1:14" x14ac:dyDescent="0.2">
      <c r="A30" s="106"/>
      <c r="B30" s="106"/>
      <c r="C30" s="73" t="s">
        <v>127</v>
      </c>
      <c r="D30" s="150">
        <f>D25+D29</f>
        <v>110595.21769069694</v>
      </c>
      <c r="F30" s="156"/>
      <c r="G30" s="156"/>
      <c r="H30" s="156"/>
      <c r="I30" s="156"/>
      <c r="J30" s="156"/>
      <c r="K30" s="156"/>
      <c r="L30" s="156"/>
      <c r="M30" s="156"/>
      <c r="N30" s="156"/>
    </row>
    <row r="31" spans="1:14" x14ac:dyDescent="0.2">
      <c r="A31" s="106"/>
      <c r="B31" s="106"/>
      <c r="C31" s="11"/>
      <c r="D31" s="107"/>
      <c r="F31" s="156"/>
      <c r="G31" s="156"/>
      <c r="H31" s="156"/>
      <c r="I31" s="156"/>
      <c r="J31" s="156"/>
      <c r="K31" s="156"/>
      <c r="L31" s="156"/>
      <c r="M31" s="156"/>
      <c r="N31" s="156"/>
    </row>
    <row r="32" spans="1:14" x14ac:dyDescent="0.2">
      <c r="A32" s="106"/>
      <c r="B32" s="106"/>
      <c r="C32" s="113" t="s">
        <v>68</v>
      </c>
      <c r="D32" s="110">
        <f>'NETWOKS UNIT COST CALCULATION '!E25</f>
        <v>623.9115676430248</v>
      </c>
      <c r="F32" s="105"/>
      <c r="G32" s="105"/>
      <c r="H32" s="105"/>
      <c r="I32" s="105"/>
      <c r="J32" s="105"/>
      <c r="K32" s="105"/>
      <c r="L32" s="105"/>
      <c r="M32" s="105"/>
      <c r="N32" s="105"/>
    </row>
    <row r="33" spans="1:14" x14ac:dyDescent="0.2">
      <c r="A33" s="106"/>
      <c r="B33" s="106"/>
      <c r="C33" s="113" t="s">
        <v>69</v>
      </c>
      <c r="D33" s="110">
        <f>'NETWOKS UNIT COST CALCULATION '!E46</f>
        <v>1220.2865646025907</v>
      </c>
      <c r="F33" s="105"/>
      <c r="G33" s="105"/>
      <c r="H33" s="105"/>
      <c r="I33" s="105"/>
      <c r="J33" s="105"/>
      <c r="K33" s="105"/>
      <c r="L33" s="105"/>
      <c r="M33" s="105"/>
      <c r="N33" s="105"/>
    </row>
    <row r="34" spans="1:14" x14ac:dyDescent="0.2">
      <c r="A34" s="106"/>
      <c r="B34" s="106"/>
      <c r="C34" s="11" t="s">
        <v>71</v>
      </c>
      <c r="D34" s="107">
        <f>D32*D15</f>
        <v>682.36083668564493</v>
      </c>
      <c r="F34" s="105"/>
      <c r="G34" s="105"/>
      <c r="H34" s="105"/>
      <c r="I34" s="105"/>
      <c r="J34" s="105"/>
      <c r="K34" s="105"/>
      <c r="L34" s="105"/>
      <c r="M34" s="105"/>
      <c r="N34" s="105"/>
    </row>
    <row r="35" spans="1:14" x14ac:dyDescent="0.2">
      <c r="A35" s="106"/>
      <c r="B35" s="106"/>
      <c r="C35" s="11" t="s">
        <v>70</v>
      </c>
      <c r="D35" s="107">
        <f>D33*D15</f>
        <v>1334.6054223102594</v>
      </c>
      <c r="F35" s="105"/>
      <c r="G35" s="105"/>
      <c r="H35" s="105"/>
      <c r="I35" s="105"/>
      <c r="J35" s="105"/>
      <c r="K35" s="105"/>
      <c r="L35" s="105"/>
      <c r="M35" s="105"/>
      <c r="N35" s="105"/>
    </row>
    <row r="36" spans="1:14" x14ac:dyDescent="0.2">
      <c r="A36" s="106"/>
      <c r="B36" s="106"/>
      <c r="C36" s="11" t="s">
        <v>72</v>
      </c>
      <c r="D36" s="107">
        <f>D34*1000/4.9</f>
        <v>139257.31360931529</v>
      </c>
      <c r="F36" s="105"/>
      <c r="G36" s="105"/>
      <c r="H36" s="105"/>
      <c r="I36" s="105"/>
      <c r="J36" s="105"/>
      <c r="K36" s="105"/>
      <c r="L36" s="105"/>
      <c r="M36" s="105"/>
      <c r="N36" s="105"/>
    </row>
    <row r="37" spans="1:14" x14ac:dyDescent="0.2">
      <c r="A37" s="106"/>
      <c r="B37" s="106"/>
      <c r="C37" s="73" t="s">
        <v>125</v>
      </c>
      <c r="D37" s="150">
        <v>600</v>
      </c>
      <c r="F37" s="140"/>
      <c r="G37" s="140"/>
      <c r="H37" s="140"/>
      <c r="I37" s="140"/>
      <c r="J37" s="140"/>
      <c r="K37" s="140"/>
      <c r="L37" s="140"/>
      <c r="M37" s="140"/>
      <c r="N37" s="140"/>
    </row>
    <row r="38" spans="1:14" x14ac:dyDescent="0.2">
      <c r="A38" s="106"/>
      <c r="B38" s="106"/>
      <c r="C38" s="73" t="s">
        <v>126</v>
      </c>
      <c r="D38" s="150">
        <f>D37*D15</f>
        <v>656.20918611599996</v>
      </c>
      <c r="F38" s="140"/>
      <c r="G38" s="140"/>
      <c r="H38" s="140"/>
      <c r="I38" s="140"/>
      <c r="J38" s="140"/>
      <c r="K38" s="140"/>
      <c r="L38" s="140"/>
      <c r="M38" s="140"/>
      <c r="N38" s="140"/>
    </row>
    <row r="39" spans="1:14" x14ac:dyDescent="0.2">
      <c r="A39" s="106"/>
      <c r="B39" s="106"/>
      <c r="C39" s="73" t="s">
        <v>128</v>
      </c>
      <c r="D39" s="150">
        <v>40</v>
      </c>
      <c r="F39" s="140"/>
      <c r="G39" s="140"/>
      <c r="H39" s="140"/>
      <c r="I39" s="140"/>
      <c r="J39" s="140"/>
      <c r="K39" s="140"/>
      <c r="L39" s="140"/>
      <c r="M39" s="140"/>
      <c r="N39" s="140"/>
    </row>
    <row r="40" spans="1:14" x14ac:dyDescent="0.2">
      <c r="A40" s="106"/>
      <c r="B40" s="106"/>
      <c r="C40" s="73" t="s">
        <v>124</v>
      </c>
      <c r="D40" s="150">
        <f>D38*D39</f>
        <v>26248.367444639996</v>
      </c>
      <c r="F40" s="140"/>
      <c r="G40" s="140"/>
      <c r="H40" s="140"/>
      <c r="I40" s="140"/>
      <c r="J40" s="140"/>
      <c r="K40" s="140"/>
      <c r="L40" s="140"/>
      <c r="M40" s="140"/>
      <c r="N40" s="140"/>
    </row>
    <row r="41" spans="1:14" x14ac:dyDescent="0.2">
      <c r="A41" s="106"/>
      <c r="B41" s="106"/>
      <c r="C41" s="73" t="s">
        <v>127</v>
      </c>
      <c r="D41" s="150">
        <f>D36+D40</f>
        <v>165505.68105395528</v>
      </c>
      <c r="F41" s="140"/>
      <c r="G41" s="140"/>
      <c r="H41" s="140"/>
      <c r="I41" s="140"/>
      <c r="J41" s="140"/>
      <c r="K41" s="140"/>
      <c r="L41" s="140"/>
      <c r="M41" s="140"/>
      <c r="N41" s="140"/>
    </row>
    <row r="42" spans="1:14" x14ac:dyDescent="0.2">
      <c r="A42" s="106"/>
      <c r="B42" s="106"/>
      <c r="C42" s="11" t="s">
        <v>73</v>
      </c>
      <c r="D42" s="107">
        <f>D35*1000/4.9</f>
        <v>272368.45353270596</v>
      </c>
      <c r="F42" s="105"/>
      <c r="G42" s="105"/>
      <c r="H42" s="105"/>
      <c r="I42" s="105"/>
      <c r="J42" s="105"/>
      <c r="K42" s="105"/>
      <c r="L42" s="105"/>
      <c r="M42" s="105"/>
      <c r="N42" s="105"/>
    </row>
    <row r="43" spans="1:14" x14ac:dyDescent="0.2">
      <c r="A43" s="106"/>
      <c r="B43" s="106"/>
      <c r="C43" s="11"/>
      <c r="D43" s="107"/>
      <c r="F43" s="105"/>
      <c r="G43" s="105"/>
      <c r="H43" s="105"/>
      <c r="I43" s="105"/>
      <c r="J43" s="105"/>
      <c r="K43" s="105"/>
      <c r="L43" s="105"/>
      <c r="M43" s="105"/>
      <c r="N43" s="105"/>
    </row>
    <row r="44" spans="1:14" x14ac:dyDescent="0.2">
      <c r="A44" s="106"/>
      <c r="B44" s="106"/>
      <c r="C44" s="11" t="s">
        <v>74</v>
      </c>
      <c r="D44" s="116" t="s">
        <v>63</v>
      </c>
      <c r="E44" s="133" t="s">
        <v>67</v>
      </c>
      <c r="F44" s="136"/>
      <c r="G44" s="136"/>
      <c r="H44" s="136"/>
      <c r="I44" s="136"/>
      <c r="J44" s="136"/>
      <c r="K44" s="136"/>
      <c r="L44" s="136"/>
      <c r="M44" s="136"/>
      <c r="N44" s="136"/>
    </row>
    <row r="45" spans="1:14" ht="16" x14ac:dyDescent="0.2">
      <c r="A45" s="114" t="s">
        <v>60</v>
      </c>
      <c r="B45" s="114"/>
      <c r="C45" s="115" t="s">
        <v>62</v>
      </c>
      <c r="D45" s="116">
        <f>D17*0.7</f>
        <v>420000000</v>
      </c>
      <c r="E45" s="116">
        <f>E46+E47</f>
        <v>2139.4178650055419</v>
      </c>
      <c r="F45" s="136"/>
      <c r="G45" s="136"/>
      <c r="H45" s="136"/>
      <c r="I45" s="136"/>
      <c r="J45" s="136"/>
      <c r="K45" s="136"/>
      <c r="L45" s="136"/>
      <c r="M45" s="136"/>
      <c r="N45" s="136"/>
    </row>
    <row r="46" spans="1:14" ht="15" customHeight="1" x14ac:dyDescent="0.2">
      <c r="A46" s="114"/>
      <c r="B46" s="114"/>
      <c r="C46" s="118" t="s">
        <v>56</v>
      </c>
      <c r="D46" s="117">
        <f>D45*0.6</f>
        <v>252000000</v>
      </c>
      <c r="E46" s="134">
        <f>D46/D41</f>
        <v>1522.6063443577345</v>
      </c>
      <c r="F46" s="136"/>
      <c r="G46" s="136"/>
      <c r="H46" s="136"/>
      <c r="I46" s="136"/>
      <c r="J46" s="136"/>
      <c r="K46" s="136"/>
      <c r="L46" s="136"/>
      <c r="M46" s="136"/>
      <c r="N46" s="136"/>
    </row>
    <row r="47" spans="1:14" x14ac:dyDescent="0.2">
      <c r="A47" s="114"/>
      <c r="B47" s="114"/>
      <c r="C47" s="118" t="s">
        <v>57</v>
      </c>
      <c r="D47" s="117">
        <f>D45*0.4</f>
        <v>168000000</v>
      </c>
      <c r="E47" s="134">
        <f>D47/D42</f>
        <v>616.81152064780724</v>
      </c>
      <c r="F47" s="136"/>
      <c r="G47" s="136"/>
      <c r="H47" s="136"/>
      <c r="I47" s="136"/>
      <c r="J47" s="136"/>
      <c r="K47" s="136"/>
      <c r="L47" s="136"/>
      <c r="M47" s="136"/>
      <c r="N47" s="136"/>
    </row>
    <row r="48" spans="1:14" x14ac:dyDescent="0.2">
      <c r="F48" s="136"/>
      <c r="G48" s="136"/>
      <c r="H48" s="136"/>
      <c r="I48" s="136"/>
      <c r="J48" s="136"/>
      <c r="K48" s="136"/>
      <c r="L48" s="136"/>
      <c r="M48" s="136"/>
      <c r="N48" s="136"/>
    </row>
    <row r="49" spans="1:14" x14ac:dyDescent="0.2">
      <c r="F49" s="136"/>
      <c r="G49" s="136"/>
      <c r="H49" s="136"/>
      <c r="I49" s="136"/>
      <c r="J49" s="136"/>
      <c r="K49" s="136"/>
      <c r="L49" s="136"/>
      <c r="M49" s="136"/>
      <c r="N49" s="136"/>
    </row>
    <row r="51" spans="1:14" ht="16" x14ac:dyDescent="0.2">
      <c r="A51" s="158" t="s">
        <v>84</v>
      </c>
      <c r="B51" s="132"/>
      <c r="C51" s="158" t="s">
        <v>85</v>
      </c>
      <c r="D51" s="126"/>
      <c r="E51" s="126"/>
      <c r="F51" s="126"/>
      <c r="G51" s="126"/>
      <c r="H51" s="126"/>
      <c r="I51" s="126"/>
      <c r="J51" s="126"/>
      <c r="K51" s="126"/>
      <c r="L51" s="126"/>
      <c r="M51" s="126"/>
      <c r="N51" s="126"/>
    </row>
    <row r="52" spans="1:14" ht="16" x14ac:dyDescent="0.2">
      <c r="A52" s="158"/>
      <c r="B52" s="132"/>
      <c r="C52" s="158"/>
      <c r="D52" s="126"/>
      <c r="E52" s="126"/>
      <c r="F52" s="126"/>
      <c r="G52" s="126"/>
      <c r="H52" s="126"/>
      <c r="I52" s="126"/>
      <c r="J52" s="126"/>
      <c r="K52" s="126"/>
      <c r="L52" s="126"/>
      <c r="M52" s="126"/>
      <c r="N52" s="126"/>
    </row>
    <row r="54" spans="1:14" x14ac:dyDescent="0.2">
      <c r="C54" s="11" t="s">
        <v>53</v>
      </c>
      <c r="D54" s="107">
        <v>200000000</v>
      </c>
    </row>
    <row r="56" spans="1:14" x14ac:dyDescent="0.2">
      <c r="A56" s="106"/>
      <c r="B56" s="106"/>
      <c r="C56" s="11" t="s">
        <v>74</v>
      </c>
      <c r="D56" s="116" t="s">
        <v>63</v>
      </c>
      <c r="E56" s="115" t="s">
        <v>100</v>
      </c>
    </row>
    <row r="57" spans="1:14" ht="16" x14ac:dyDescent="0.2">
      <c r="A57" s="114" t="s">
        <v>61</v>
      </c>
      <c r="B57" s="114"/>
      <c r="C57" s="115" t="s">
        <v>90</v>
      </c>
      <c r="D57" s="116">
        <f>D54</f>
        <v>200000000</v>
      </c>
      <c r="E57" s="116">
        <f>E59+E65</f>
        <v>12694.122813647238</v>
      </c>
    </row>
    <row r="59" spans="1:14" ht="16" x14ac:dyDescent="0.2">
      <c r="B59" s="130" t="s">
        <v>98</v>
      </c>
      <c r="C59" s="128" t="s">
        <v>94</v>
      </c>
      <c r="D59" s="129">
        <f>D57*0.1</f>
        <v>20000000</v>
      </c>
      <c r="E59" s="129">
        <f>D59/D63</f>
        <v>8960.5572802215811</v>
      </c>
    </row>
    <row r="60" spans="1:14" x14ac:dyDescent="0.2">
      <c r="C60" s="11" t="s">
        <v>88</v>
      </c>
      <c r="D60" s="127">
        <f>D61+D62</f>
        <v>10000</v>
      </c>
      <c r="F60" s="162" t="s">
        <v>105</v>
      </c>
      <c r="G60" s="163"/>
      <c r="H60" s="163"/>
      <c r="I60" s="163"/>
      <c r="J60" s="163"/>
      <c r="K60" s="163"/>
      <c r="L60" s="163"/>
      <c r="M60" s="163"/>
      <c r="N60" s="163"/>
    </row>
    <row r="61" spans="1:14" x14ac:dyDescent="0.2">
      <c r="C61" s="11" t="s">
        <v>91</v>
      </c>
      <c r="D61" s="127">
        <v>3000</v>
      </c>
      <c r="F61" s="163"/>
      <c r="G61" s="163"/>
      <c r="H61" s="163"/>
      <c r="I61" s="163"/>
      <c r="J61" s="163"/>
      <c r="K61" s="163"/>
      <c r="L61" s="163"/>
      <c r="M61" s="163"/>
      <c r="N61" s="163"/>
    </row>
    <row r="62" spans="1:14" x14ac:dyDescent="0.2">
      <c r="C62" s="11" t="s">
        <v>87</v>
      </c>
      <c r="D62" s="127">
        <v>7000</v>
      </c>
      <c r="F62" s="163"/>
      <c r="G62" s="163"/>
      <c r="H62" s="163"/>
      <c r="I62" s="163"/>
      <c r="J62" s="163"/>
      <c r="K62" s="163"/>
      <c r="L62" s="163"/>
      <c r="M62" s="163"/>
      <c r="N62" s="163"/>
    </row>
    <row r="63" spans="1:14" x14ac:dyDescent="0.2">
      <c r="C63" s="11" t="s">
        <v>86</v>
      </c>
      <c r="D63" s="127">
        <f>D60*D15/4.9</f>
        <v>2232.0040344081626</v>
      </c>
      <c r="F63" s="163"/>
      <c r="G63" s="163"/>
      <c r="H63" s="163"/>
      <c r="I63" s="163"/>
      <c r="J63" s="163"/>
      <c r="K63" s="163"/>
      <c r="L63" s="163"/>
      <c r="M63" s="163"/>
      <c r="N63" s="163"/>
    </row>
    <row r="65" spans="1:14" ht="16" x14ac:dyDescent="0.2">
      <c r="B65" s="130" t="s">
        <v>99</v>
      </c>
      <c r="C65" s="128" t="s">
        <v>95</v>
      </c>
      <c r="D65" s="129">
        <f>D57*0.5</f>
        <v>100000000</v>
      </c>
      <c r="E65" s="129">
        <f>D65/D70</f>
        <v>3733.565533425658</v>
      </c>
    </row>
    <row r="66" spans="1:14" ht="16" x14ac:dyDescent="0.2">
      <c r="C66" s="119" t="s">
        <v>89</v>
      </c>
      <c r="F66" s="156" t="s">
        <v>139</v>
      </c>
      <c r="G66" s="156"/>
      <c r="H66" s="156"/>
      <c r="I66" s="156"/>
      <c r="J66" s="156"/>
      <c r="K66" s="156"/>
      <c r="L66" s="156"/>
      <c r="M66" s="156"/>
      <c r="N66" s="156"/>
    </row>
    <row r="67" spans="1:14" x14ac:dyDescent="0.2">
      <c r="C67" s="11" t="s">
        <v>92</v>
      </c>
      <c r="D67" s="127">
        <f>D68+D69</f>
        <v>120000</v>
      </c>
      <c r="F67" s="156"/>
      <c r="G67" s="156"/>
      <c r="H67" s="156"/>
      <c r="I67" s="156"/>
      <c r="J67" s="156"/>
      <c r="K67" s="156"/>
      <c r="L67" s="156"/>
      <c r="M67" s="156"/>
      <c r="N67" s="156"/>
    </row>
    <row r="68" spans="1:14" x14ac:dyDescent="0.2">
      <c r="C68" s="11" t="s">
        <v>91</v>
      </c>
      <c r="D68" s="127">
        <f>(D61*0.8)*15</f>
        <v>36000</v>
      </c>
      <c r="F68" s="156"/>
      <c r="G68" s="156"/>
      <c r="H68" s="156"/>
      <c r="I68" s="156"/>
      <c r="J68" s="156"/>
      <c r="K68" s="156"/>
      <c r="L68" s="156"/>
      <c r="M68" s="156"/>
      <c r="N68" s="156"/>
    </row>
    <row r="69" spans="1:14" x14ac:dyDescent="0.2">
      <c r="C69" s="11" t="s">
        <v>87</v>
      </c>
      <c r="D69" s="127">
        <f>(D62*0.8)*15</f>
        <v>84000</v>
      </c>
      <c r="F69" s="156"/>
      <c r="G69" s="156"/>
      <c r="H69" s="156"/>
      <c r="I69" s="156"/>
      <c r="J69" s="156"/>
      <c r="K69" s="156"/>
      <c r="L69" s="156"/>
      <c r="M69" s="156"/>
      <c r="N69" s="156"/>
    </row>
    <row r="70" spans="1:14" x14ac:dyDescent="0.2">
      <c r="C70" s="11" t="s">
        <v>93</v>
      </c>
      <c r="D70" s="127">
        <f>D67*D15/4.9</f>
        <v>26784.048412897955</v>
      </c>
      <c r="F70" s="156"/>
      <c r="G70" s="156"/>
      <c r="H70" s="156"/>
      <c r="I70" s="156"/>
      <c r="J70" s="156"/>
      <c r="K70" s="156"/>
      <c r="L70" s="156"/>
      <c r="M70" s="156"/>
      <c r="N70" s="156"/>
    </row>
    <row r="71" spans="1:14" ht="36" customHeight="1" x14ac:dyDescent="0.2">
      <c r="F71" s="156"/>
      <c r="G71" s="156"/>
      <c r="H71" s="156"/>
      <c r="I71" s="156"/>
      <c r="J71" s="156"/>
      <c r="K71" s="156"/>
      <c r="L71" s="156"/>
      <c r="M71" s="156"/>
      <c r="N71" s="156"/>
    </row>
    <row r="72" spans="1:14" ht="15.75" customHeight="1" x14ac:dyDescent="0.2">
      <c r="A72" s="106"/>
      <c r="B72" s="106"/>
      <c r="C72" s="11"/>
      <c r="D72" s="116" t="s">
        <v>63</v>
      </c>
      <c r="E72" s="115" t="s">
        <v>67</v>
      </c>
      <c r="H72" t="s">
        <v>142</v>
      </c>
    </row>
    <row r="73" spans="1:14" ht="16" x14ac:dyDescent="0.2">
      <c r="A73" s="114" t="s">
        <v>96</v>
      </c>
      <c r="B73" s="114"/>
      <c r="C73" s="115" t="s">
        <v>97</v>
      </c>
      <c r="D73" s="116">
        <f>D57-D59-D65</f>
        <v>80000000</v>
      </c>
      <c r="E73" s="116">
        <f>D73/D41</f>
        <v>483.36709344689984</v>
      </c>
    </row>
    <row r="75" spans="1:14" ht="16" x14ac:dyDescent="0.2">
      <c r="A75" s="158" t="s">
        <v>101</v>
      </c>
      <c r="B75" s="132"/>
      <c r="C75" s="158" t="s">
        <v>102</v>
      </c>
      <c r="D75" s="126"/>
      <c r="E75" s="126"/>
      <c r="F75" s="126"/>
      <c r="G75" s="126"/>
      <c r="H75" s="126"/>
      <c r="I75" s="126"/>
      <c r="J75" s="126"/>
      <c r="K75" s="126"/>
      <c r="L75" s="126"/>
      <c r="M75" s="126"/>
      <c r="N75" s="126"/>
    </row>
    <row r="76" spans="1:14" ht="16" x14ac:dyDescent="0.2">
      <c r="A76" s="158"/>
      <c r="B76" s="132"/>
      <c r="C76" s="158"/>
      <c r="D76" s="126"/>
      <c r="E76" s="126"/>
      <c r="F76" s="126"/>
      <c r="G76" s="126"/>
      <c r="H76" s="126"/>
      <c r="I76" s="126"/>
      <c r="J76" s="126"/>
      <c r="K76" s="126"/>
      <c r="L76" s="126"/>
      <c r="M76" s="126"/>
      <c r="N76" s="126"/>
    </row>
    <row r="78" spans="1:14" x14ac:dyDescent="0.2">
      <c r="A78" s="106"/>
      <c r="B78" s="106"/>
      <c r="C78" s="11"/>
      <c r="D78" s="116" t="s">
        <v>63</v>
      </c>
      <c r="E78" s="115" t="s">
        <v>67</v>
      </c>
    </row>
    <row r="79" spans="1:14" ht="16" x14ac:dyDescent="0.2">
      <c r="A79" s="114" t="s">
        <v>103</v>
      </c>
      <c r="B79" s="114"/>
      <c r="C79" s="131" t="s">
        <v>104</v>
      </c>
      <c r="D79" s="116">
        <v>168000000</v>
      </c>
      <c r="E79" s="116">
        <f>D79/D81</f>
        <v>88421.052631578947</v>
      </c>
    </row>
    <row r="81" spans="3:14" x14ac:dyDescent="0.2">
      <c r="C81" t="s">
        <v>133</v>
      </c>
      <c r="D81" s="127">
        <f>D82+D83+(D85*D84)+(D86*D84)</f>
        <v>1900</v>
      </c>
      <c r="F81" s="156" t="s">
        <v>140</v>
      </c>
      <c r="G81" s="156"/>
      <c r="H81" s="156"/>
      <c r="I81" s="156"/>
      <c r="J81" s="156"/>
      <c r="K81" s="156"/>
      <c r="L81" s="156"/>
      <c r="M81" s="156"/>
      <c r="N81" s="156"/>
    </row>
    <row r="82" spans="3:14" x14ac:dyDescent="0.2">
      <c r="C82" t="s">
        <v>134</v>
      </c>
      <c r="D82" s="109">
        <v>400</v>
      </c>
      <c r="F82" s="156"/>
      <c r="G82" s="156"/>
      <c r="H82" s="156"/>
      <c r="I82" s="156"/>
      <c r="J82" s="156"/>
      <c r="K82" s="156"/>
      <c r="L82" s="156"/>
      <c r="M82" s="156"/>
      <c r="N82" s="156"/>
    </row>
    <row r="83" spans="3:14" x14ac:dyDescent="0.2">
      <c r="C83" t="s">
        <v>135</v>
      </c>
      <c r="D83" s="109">
        <v>600</v>
      </c>
      <c r="F83" s="156"/>
      <c r="G83" s="156"/>
      <c r="H83" s="156"/>
      <c r="I83" s="156"/>
      <c r="J83" s="156"/>
      <c r="K83" s="156"/>
      <c r="L83" s="156"/>
      <c r="M83" s="156"/>
      <c r="N83" s="156"/>
    </row>
    <row r="84" spans="3:14" x14ac:dyDescent="0.2">
      <c r="C84" t="s">
        <v>136</v>
      </c>
      <c r="D84" s="109">
        <v>10</v>
      </c>
      <c r="F84" s="156"/>
      <c r="G84" s="156"/>
      <c r="H84" s="156"/>
      <c r="I84" s="156"/>
      <c r="J84" s="156"/>
      <c r="K84" s="156"/>
      <c r="L84" s="156"/>
      <c r="M84" s="156"/>
      <c r="N84" s="156"/>
    </row>
    <row r="85" spans="3:14" x14ac:dyDescent="0.2">
      <c r="C85" t="s">
        <v>137</v>
      </c>
      <c r="D85" s="109">
        <v>30</v>
      </c>
      <c r="F85" s="156"/>
      <c r="G85" s="156"/>
      <c r="H85" s="156"/>
      <c r="I85" s="156"/>
      <c r="J85" s="156"/>
      <c r="K85" s="156"/>
      <c r="L85" s="156"/>
      <c r="M85" s="156"/>
      <c r="N85" s="156"/>
    </row>
    <row r="86" spans="3:14" x14ac:dyDescent="0.2">
      <c r="C86" t="s">
        <v>138</v>
      </c>
      <c r="D86" s="109">
        <v>60</v>
      </c>
      <c r="F86" s="156"/>
      <c r="G86" s="156"/>
      <c r="H86" s="156"/>
      <c r="I86" s="156"/>
      <c r="J86" s="156"/>
      <c r="K86" s="156"/>
      <c r="L86" s="156"/>
      <c r="M86" s="156"/>
      <c r="N86" s="156"/>
    </row>
  </sheetData>
  <mergeCells count="14">
    <mergeCell ref="C5:K5"/>
    <mergeCell ref="C8:K8"/>
    <mergeCell ref="A75:A76"/>
    <mergeCell ref="C75:C76"/>
    <mergeCell ref="A20:A21"/>
    <mergeCell ref="C20:C21"/>
    <mergeCell ref="F60:N63"/>
    <mergeCell ref="F81:N86"/>
    <mergeCell ref="F66:N71"/>
    <mergeCell ref="F22:N31"/>
    <mergeCell ref="A10:A11"/>
    <mergeCell ref="C10:C11"/>
    <mergeCell ref="A51:A52"/>
    <mergeCell ref="C51:C5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E4:V135"/>
  <sheetViews>
    <sheetView zoomScale="95" zoomScaleNormal="95" workbookViewId="0">
      <selection activeCell="E11" sqref="E11"/>
    </sheetView>
  </sheetViews>
  <sheetFormatPr baseColWidth="10" defaultColWidth="8.83203125" defaultRowHeight="15" x14ac:dyDescent="0.2"/>
  <cols>
    <col min="6" max="6" width="11.33203125" customWidth="1"/>
    <col min="7" max="7" width="7.1640625" style="41" customWidth="1"/>
    <col min="8" max="8" width="12.33203125" customWidth="1"/>
    <col min="9" max="9" width="7.83203125" bestFit="1" customWidth="1"/>
    <col min="10" max="10" width="10.6640625" customWidth="1"/>
    <col min="11" max="11" width="10.5" customWidth="1"/>
    <col min="12" max="12" width="9" bestFit="1" customWidth="1"/>
    <col min="13" max="13" width="8" style="47" customWidth="1"/>
    <col min="14" max="14" width="10.1640625" customWidth="1"/>
    <col min="15" max="15" width="1.5" customWidth="1"/>
    <col min="22" max="22" width="25.83203125" customWidth="1"/>
  </cols>
  <sheetData>
    <row r="4" spans="5:22" x14ac:dyDescent="0.2">
      <c r="E4" s="2"/>
      <c r="F4" s="173" t="s">
        <v>0</v>
      </c>
      <c r="G4" s="173"/>
      <c r="H4" s="173"/>
      <c r="I4" s="4"/>
      <c r="J4" s="4"/>
      <c r="K4" s="4"/>
      <c r="L4" s="4"/>
      <c r="M4" s="5"/>
      <c r="N4" s="4"/>
      <c r="O4" s="6"/>
      <c r="P4" s="6"/>
      <c r="Q4" s="6"/>
      <c r="R4" s="6"/>
      <c r="S4" s="6"/>
      <c r="T4" s="6"/>
      <c r="U4" s="6"/>
      <c r="V4" s="7"/>
    </row>
    <row r="5" spans="5:22" x14ac:dyDescent="0.2">
      <c r="E5" s="2"/>
      <c r="F5" s="173"/>
      <c r="G5" s="173"/>
      <c r="H5" s="173"/>
      <c r="I5" s="4"/>
      <c r="J5" s="4"/>
      <c r="K5" s="4"/>
      <c r="L5" s="4"/>
      <c r="M5" s="5"/>
      <c r="N5" s="4"/>
      <c r="O5" s="6"/>
      <c r="P5" s="6"/>
      <c r="Q5" s="6"/>
      <c r="R5" s="6"/>
      <c r="S5" s="6"/>
      <c r="T5" s="6"/>
      <c r="U5" s="6"/>
      <c r="V5" s="7"/>
    </row>
    <row r="6" spans="5:22" ht="14.25" customHeight="1" x14ac:dyDescent="0.2">
      <c r="E6" s="2"/>
      <c r="F6" s="173"/>
      <c r="G6" s="173"/>
      <c r="H6" s="173"/>
      <c r="I6" s="4"/>
      <c r="J6" s="4"/>
      <c r="K6" s="4"/>
      <c r="L6" s="4"/>
      <c r="M6" s="5"/>
      <c r="N6" s="175" t="s">
        <v>1</v>
      </c>
      <c r="O6" s="175"/>
      <c r="P6" s="175"/>
      <c r="Q6" s="6"/>
      <c r="R6" s="6"/>
      <c r="S6" s="6"/>
      <c r="T6" s="6"/>
      <c r="U6" s="6"/>
      <c r="V6" s="7"/>
    </row>
    <row r="7" spans="5:22" ht="14.25" customHeight="1" x14ac:dyDescent="0.2">
      <c r="E7" s="2"/>
      <c r="F7" s="173"/>
      <c r="G7" s="173"/>
      <c r="H7" s="173"/>
      <c r="I7" s="4"/>
      <c r="J7" s="4"/>
      <c r="K7" s="4"/>
      <c r="L7" s="4"/>
      <c r="M7" s="5"/>
      <c r="N7" s="175"/>
      <c r="O7" s="175"/>
      <c r="P7" s="175"/>
      <c r="Q7" s="6"/>
      <c r="R7" s="6"/>
      <c r="S7" s="6"/>
      <c r="T7" s="6"/>
      <c r="U7" s="6"/>
      <c r="V7" s="7"/>
    </row>
    <row r="8" spans="5:22" x14ac:dyDescent="0.2">
      <c r="E8" s="2"/>
      <c r="F8" s="174"/>
      <c r="G8" s="174"/>
      <c r="H8" s="174"/>
      <c r="I8" s="6"/>
      <c r="J8" s="6"/>
      <c r="K8" s="6"/>
      <c r="L8" s="6"/>
      <c r="M8" s="8"/>
      <c r="N8" s="6"/>
      <c r="O8" s="6"/>
      <c r="P8" s="6"/>
      <c r="Q8" s="6"/>
      <c r="R8" s="6"/>
      <c r="S8" s="6"/>
      <c r="T8" s="6"/>
      <c r="U8" s="6"/>
      <c r="V8" s="7"/>
    </row>
    <row r="9" spans="5:22" x14ac:dyDescent="0.2">
      <c r="E9" s="2"/>
      <c r="F9" s="9"/>
      <c r="G9" s="10"/>
      <c r="H9" s="9"/>
      <c r="I9" s="176" t="s">
        <v>2</v>
      </c>
      <c r="J9" s="176"/>
      <c r="K9" s="176"/>
      <c r="L9" s="176"/>
      <c r="M9" s="176"/>
      <c r="N9" s="176"/>
      <c r="O9" s="11"/>
      <c r="P9" s="176" t="s">
        <v>3</v>
      </c>
      <c r="Q9" s="176"/>
      <c r="R9" s="176"/>
      <c r="S9" s="176"/>
      <c r="T9" s="176"/>
      <c r="U9" s="176"/>
      <c r="V9" s="3"/>
    </row>
    <row r="10" spans="5:22" ht="89.25" customHeight="1" x14ac:dyDescent="0.2">
      <c r="F10" s="12" t="s">
        <v>4</v>
      </c>
      <c r="G10" s="13" t="s">
        <v>5</v>
      </c>
      <c r="H10" s="12" t="s">
        <v>6</v>
      </c>
      <c r="I10" s="12" t="s">
        <v>7</v>
      </c>
      <c r="J10" s="12" t="s">
        <v>8</v>
      </c>
      <c r="K10" s="12" t="s">
        <v>9</v>
      </c>
      <c r="L10" s="12" t="s">
        <v>10</v>
      </c>
      <c r="M10" s="12" t="s">
        <v>11</v>
      </c>
      <c r="N10" s="12" t="s">
        <v>12</v>
      </c>
      <c r="P10" s="12" t="s">
        <v>7</v>
      </c>
      <c r="Q10" s="12" t="s">
        <v>8</v>
      </c>
      <c r="R10" s="12" t="s">
        <v>9</v>
      </c>
      <c r="S10" s="12" t="s">
        <v>10</v>
      </c>
      <c r="T10" s="12" t="s">
        <v>11</v>
      </c>
      <c r="U10" s="12" t="s">
        <v>13</v>
      </c>
      <c r="V10" s="12" t="s">
        <v>14</v>
      </c>
    </row>
    <row r="11" spans="5:22" x14ac:dyDescent="0.2">
      <c r="F11" s="14" t="s">
        <v>15</v>
      </c>
      <c r="G11" s="15">
        <v>1.5</v>
      </c>
      <c r="H11" s="16" t="s">
        <v>16</v>
      </c>
      <c r="I11" s="17">
        <f>'[1]Water_New OD 63_H=1.5 m'!Y15</f>
        <v>131.78988016053441</v>
      </c>
      <c r="J11" s="18">
        <f>'[1]Water_New OD 63_H=1.5 m'!AO15</f>
        <v>177.0721406050599</v>
      </c>
      <c r="K11" s="19">
        <f>(J11-I11)/J11</f>
        <v>0.25572775191961244</v>
      </c>
      <c r="L11" s="20">
        <f>[1]WATER_Reinstatement!$C$20</f>
        <v>167.28633975934412</v>
      </c>
      <c r="M11" s="21">
        <v>0.8</v>
      </c>
      <c r="N11" s="20">
        <f>J11+M11*1*L11</f>
        <v>310.90121241253519</v>
      </c>
      <c r="P11" s="18">
        <f>'[1]Water_New OD 63_H=1.5 m'!Y14</f>
        <v>83.492860548639413</v>
      </c>
      <c r="Q11" s="18">
        <f>'[1]Water_New OD 63_H=1.5 m'!AO14</f>
        <v>113.00820123534076</v>
      </c>
      <c r="R11" s="19">
        <f>(Q11-P11)/Q11</f>
        <v>0.26117874954256942</v>
      </c>
      <c r="S11" s="20">
        <f>[1]WATER_Reinstatement!$C$20</f>
        <v>167.28633975934412</v>
      </c>
      <c r="T11" s="21">
        <v>0.8</v>
      </c>
      <c r="U11" s="20">
        <f>Q11+T11*1*S11</f>
        <v>246.83727304281604</v>
      </c>
      <c r="V11" s="22"/>
    </row>
    <row r="12" spans="5:22" x14ac:dyDescent="0.2">
      <c r="F12" s="14" t="s">
        <v>15</v>
      </c>
      <c r="G12" s="15">
        <v>1.5</v>
      </c>
      <c r="H12" s="16" t="s">
        <v>17</v>
      </c>
      <c r="I12" s="16">
        <f>I11</f>
        <v>131.78988016053441</v>
      </c>
      <c r="J12" s="20">
        <f>J11</f>
        <v>177.0721406050599</v>
      </c>
      <c r="K12" s="23">
        <f>K11</f>
        <v>0.25572775191961244</v>
      </c>
      <c r="L12" s="20">
        <f>[1]WATER_Reinstatement!$P$20</f>
        <v>164.01041731565468</v>
      </c>
      <c r="M12" s="21">
        <v>0.8</v>
      </c>
      <c r="N12" s="20">
        <f>J12+M12*1*L12</f>
        <v>308.28047445758364</v>
      </c>
      <c r="P12" s="20">
        <f>P11</f>
        <v>83.492860548639413</v>
      </c>
      <c r="Q12" s="20">
        <f>Q11</f>
        <v>113.00820123534076</v>
      </c>
      <c r="R12" s="23">
        <f>R11</f>
        <v>0.26117874954256942</v>
      </c>
      <c r="S12" s="20">
        <f>[1]WATER_Reinstatement!$P$20</f>
        <v>164.01041731565468</v>
      </c>
      <c r="T12" s="21">
        <v>0.8</v>
      </c>
      <c r="U12" s="20">
        <f>Q12+T12*1*S12</f>
        <v>244.21653508786449</v>
      </c>
      <c r="V12" s="24"/>
    </row>
    <row r="13" spans="5:22" x14ac:dyDescent="0.2">
      <c r="F13" s="14" t="s">
        <v>15</v>
      </c>
      <c r="G13" s="15">
        <v>1.5</v>
      </c>
      <c r="H13" s="16" t="s">
        <v>18</v>
      </c>
      <c r="I13" s="16">
        <f>I11</f>
        <v>131.78988016053441</v>
      </c>
      <c r="J13" s="20">
        <f>J11</f>
        <v>177.0721406050599</v>
      </c>
      <c r="K13" s="23">
        <f>K11</f>
        <v>0.25572775191961244</v>
      </c>
      <c r="L13" s="20">
        <f>[1]WATER_Reinstatement!$AA$20</f>
        <v>82.936542797695623</v>
      </c>
      <c r="M13" s="21">
        <v>0.8</v>
      </c>
      <c r="N13" s="20">
        <f>J13+M13*1*L13</f>
        <v>243.4213748432164</v>
      </c>
      <c r="P13" s="20">
        <f>P11</f>
        <v>83.492860548639413</v>
      </c>
      <c r="Q13" s="20">
        <f>Q11</f>
        <v>113.00820123534076</v>
      </c>
      <c r="R13" s="23">
        <f>R11</f>
        <v>0.26117874954256942</v>
      </c>
      <c r="S13" s="20">
        <f>[1]WATER_Reinstatement!$AA$20</f>
        <v>82.936542797695623</v>
      </c>
      <c r="T13" s="21">
        <v>0.8</v>
      </c>
      <c r="U13" s="20">
        <f>Q13+T13*1*S13</f>
        <v>179.35743547349728</v>
      </c>
      <c r="V13" s="24"/>
    </row>
    <row r="14" spans="5:22" x14ac:dyDescent="0.2">
      <c r="F14" s="14" t="s">
        <v>15</v>
      </c>
      <c r="G14" s="15">
        <v>1.5</v>
      </c>
      <c r="H14" s="16" t="s">
        <v>19</v>
      </c>
      <c r="I14" s="16">
        <f>I11</f>
        <v>131.78988016053441</v>
      </c>
      <c r="J14" s="20">
        <f>J11</f>
        <v>177.0721406050599</v>
      </c>
      <c r="K14" s="23">
        <f>K11</f>
        <v>0.25572775191961244</v>
      </c>
      <c r="L14" s="20">
        <f>[1]WATER_Reinstatement!$AL$20</f>
        <v>34.229193013075353</v>
      </c>
      <c r="M14" s="21">
        <v>0.8</v>
      </c>
      <c r="N14" s="20">
        <f>J14+M14*1*L14</f>
        <v>204.45549501552017</v>
      </c>
      <c r="P14" s="20">
        <f>P11</f>
        <v>83.492860548639413</v>
      </c>
      <c r="Q14" s="20">
        <f>Q11</f>
        <v>113.00820123534076</v>
      </c>
      <c r="R14" s="23">
        <f>R11</f>
        <v>0.26117874954256942</v>
      </c>
      <c r="S14" s="20">
        <f>[1]WATER_Reinstatement!$AL$20</f>
        <v>34.229193013075353</v>
      </c>
      <c r="T14" s="21">
        <v>0.8</v>
      </c>
      <c r="U14" s="20">
        <f>Q14+T14*1*S14</f>
        <v>140.39155564580105</v>
      </c>
      <c r="V14" s="24"/>
    </row>
    <row r="15" spans="5:22" ht="6" customHeight="1" x14ac:dyDescent="0.2">
      <c r="F15" s="25"/>
      <c r="G15" s="26"/>
      <c r="H15" s="27"/>
      <c r="I15" s="27"/>
      <c r="J15" s="27"/>
      <c r="K15" s="28"/>
      <c r="L15" s="27"/>
      <c r="M15" s="29"/>
      <c r="N15" s="27"/>
      <c r="V15" s="30"/>
    </row>
    <row r="16" spans="5:22" ht="14.25" customHeight="1" x14ac:dyDescent="0.2">
      <c r="F16" s="14" t="s">
        <v>15</v>
      </c>
      <c r="G16" s="15">
        <v>2</v>
      </c>
      <c r="H16" s="16" t="s">
        <v>16</v>
      </c>
      <c r="I16" s="164" t="s">
        <v>20</v>
      </c>
      <c r="J16" s="165"/>
      <c r="K16" s="165"/>
      <c r="L16" s="165"/>
      <c r="M16" s="165"/>
      <c r="N16" s="166"/>
      <c r="P16" s="18">
        <f>'[1]Water_New OD_63_H=2.0 m'!Z14</f>
        <v>93.824972449754128</v>
      </c>
      <c r="Q16" s="18">
        <f>'[1]Water_New OD_63_H=2.0 m'!AM14</f>
        <v>121.22092795794639</v>
      </c>
      <c r="R16" s="19">
        <f>(Q16-P16)/Q16</f>
        <v>0.22600021274953763</v>
      </c>
      <c r="S16" s="20">
        <f>[1]WATER_Reinstatement!$C$20</f>
        <v>167.28633975934412</v>
      </c>
      <c r="T16" s="21">
        <v>0.8</v>
      </c>
      <c r="U16" s="20">
        <f>Q16+T16*1*S16</f>
        <v>255.04999976542166</v>
      </c>
      <c r="V16" s="31"/>
    </row>
    <row r="17" spans="6:22" ht="14.25" customHeight="1" x14ac:dyDescent="0.2">
      <c r="F17" s="14" t="s">
        <v>15</v>
      </c>
      <c r="G17" s="15">
        <v>2</v>
      </c>
      <c r="H17" s="16" t="s">
        <v>17</v>
      </c>
      <c r="I17" s="167"/>
      <c r="J17" s="168"/>
      <c r="K17" s="168"/>
      <c r="L17" s="168"/>
      <c r="M17" s="168"/>
      <c r="N17" s="169"/>
      <c r="P17" s="20">
        <f>P16</f>
        <v>93.824972449754128</v>
      </c>
      <c r="Q17" s="32">
        <f>Q16</f>
        <v>121.22092795794639</v>
      </c>
      <c r="R17" s="23">
        <f>R16</f>
        <v>0.22600021274953763</v>
      </c>
      <c r="S17" s="20">
        <f>[1]WATER_Reinstatement!$P$20</f>
        <v>164.01041731565468</v>
      </c>
      <c r="T17" s="21">
        <v>0.8</v>
      </c>
      <c r="U17" s="20">
        <f>Q17+T17*1*S17</f>
        <v>252.42926181047011</v>
      </c>
      <c r="V17" s="31"/>
    </row>
    <row r="18" spans="6:22" ht="14.25" customHeight="1" x14ac:dyDescent="0.2">
      <c r="F18" s="14" t="s">
        <v>15</v>
      </c>
      <c r="G18" s="15">
        <v>2</v>
      </c>
      <c r="H18" s="16" t="s">
        <v>18</v>
      </c>
      <c r="I18" s="167"/>
      <c r="J18" s="168"/>
      <c r="K18" s="168"/>
      <c r="L18" s="168"/>
      <c r="M18" s="168"/>
      <c r="N18" s="169"/>
      <c r="P18" s="20">
        <f>P16</f>
        <v>93.824972449754128</v>
      </c>
      <c r="Q18" s="32">
        <f>Q16</f>
        <v>121.22092795794639</v>
      </c>
      <c r="R18" s="23">
        <f>R16</f>
        <v>0.22600021274953763</v>
      </c>
      <c r="S18" s="20">
        <f>[1]WATER_Reinstatement!$AA$20</f>
        <v>82.936542797695623</v>
      </c>
      <c r="T18" s="21">
        <v>0.8</v>
      </c>
      <c r="U18" s="20">
        <f>Q18+T18*1*S18</f>
        <v>187.5701621961029</v>
      </c>
      <c r="V18" s="31"/>
    </row>
    <row r="19" spans="6:22" ht="14.25" customHeight="1" x14ac:dyDescent="0.2">
      <c r="F19" s="14" t="s">
        <v>15</v>
      </c>
      <c r="G19" s="15">
        <v>2</v>
      </c>
      <c r="H19" s="16" t="s">
        <v>19</v>
      </c>
      <c r="I19" s="170"/>
      <c r="J19" s="171"/>
      <c r="K19" s="171"/>
      <c r="L19" s="171"/>
      <c r="M19" s="171"/>
      <c r="N19" s="172"/>
      <c r="P19" s="20">
        <f>P16</f>
        <v>93.824972449754128</v>
      </c>
      <c r="Q19" s="32">
        <f>Q16</f>
        <v>121.22092795794639</v>
      </c>
      <c r="R19" s="23">
        <f>R16</f>
        <v>0.22600021274953763</v>
      </c>
      <c r="S19" s="20">
        <f>[1]WATER_Reinstatement!$AL$20</f>
        <v>34.229193013075353</v>
      </c>
      <c r="T19" s="21">
        <v>0.8</v>
      </c>
      <c r="U19" s="20">
        <f>Q19+T19*1*S19</f>
        <v>148.60428236840667</v>
      </c>
      <c r="V19" s="31"/>
    </row>
    <row r="20" spans="6:22" ht="6" customHeight="1" x14ac:dyDescent="0.2">
      <c r="F20" s="25"/>
      <c r="G20" s="26"/>
      <c r="H20" s="27"/>
      <c r="I20" s="33"/>
      <c r="J20" s="33"/>
      <c r="K20" s="34"/>
      <c r="L20" s="35"/>
      <c r="M20" s="36"/>
      <c r="N20" s="35"/>
      <c r="V20" s="30"/>
    </row>
    <row r="21" spans="6:22" ht="14.25" customHeight="1" x14ac:dyDescent="0.2">
      <c r="F21" s="14" t="s">
        <v>15</v>
      </c>
      <c r="G21" s="15">
        <v>2.5</v>
      </c>
      <c r="H21" s="16" t="s">
        <v>16</v>
      </c>
      <c r="I21" s="164" t="s">
        <v>20</v>
      </c>
      <c r="J21" s="165"/>
      <c r="K21" s="165"/>
      <c r="L21" s="165"/>
      <c r="M21" s="165"/>
      <c r="N21" s="166"/>
      <c r="O21" s="37"/>
      <c r="P21" s="164" t="s">
        <v>20</v>
      </c>
      <c r="Q21" s="165"/>
      <c r="R21" s="165"/>
      <c r="S21" s="165"/>
      <c r="T21" s="165"/>
      <c r="U21" s="166"/>
      <c r="V21" s="24"/>
    </row>
    <row r="22" spans="6:22" ht="14.25" customHeight="1" x14ac:dyDescent="0.2">
      <c r="F22" s="14" t="s">
        <v>15</v>
      </c>
      <c r="G22" s="15">
        <v>2.5</v>
      </c>
      <c r="H22" s="16" t="s">
        <v>17</v>
      </c>
      <c r="I22" s="167"/>
      <c r="J22" s="168"/>
      <c r="K22" s="168"/>
      <c r="L22" s="168"/>
      <c r="M22" s="168"/>
      <c r="N22" s="169"/>
      <c r="O22" s="38"/>
      <c r="P22" s="167"/>
      <c r="Q22" s="168"/>
      <c r="R22" s="168"/>
      <c r="S22" s="168"/>
      <c r="T22" s="168"/>
      <c r="U22" s="169"/>
      <c r="V22" s="24"/>
    </row>
    <row r="23" spans="6:22" ht="14.25" customHeight="1" x14ac:dyDescent="0.2">
      <c r="F23" s="14" t="s">
        <v>15</v>
      </c>
      <c r="G23" s="15">
        <v>2.5</v>
      </c>
      <c r="H23" s="16" t="s">
        <v>18</v>
      </c>
      <c r="I23" s="167"/>
      <c r="J23" s="168"/>
      <c r="K23" s="168"/>
      <c r="L23" s="168"/>
      <c r="M23" s="168"/>
      <c r="N23" s="169"/>
      <c r="O23" s="38"/>
      <c r="P23" s="167"/>
      <c r="Q23" s="168"/>
      <c r="R23" s="168"/>
      <c r="S23" s="168"/>
      <c r="T23" s="168"/>
      <c r="U23" s="169"/>
      <c r="V23" s="24"/>
    </row>
    <row r="24" spans="6:22" ht="14.25" customHeight="1" x14ac:dyDescent="0.2">
      <c r="F24" s="14" t="s">
        <v>15</v>
      </c>
      <c r="G24" s="15">
        <v>2.5</v>
      </c>
      <c r="H24" s="16" t="s">
        <v>19</v>
      </c>
      <c r="I24" s="170"/>
      <c r="J24" s="171"/>
      <c r="K24" s="171"/>
      <c r="L24" s="171"/>
      <c r="M24" s="171"/>
      <c r="N24" s="172"/>
      <c r="O24" s="39"/>
      <c r="P24" s="170"/>
      <c r="Q24" s="171"/>
      <c r="R24" s="171"/>
      <c r="S24" s="171"/>
      <c r="T24" s="171"/>
      <c r="U24" s="172"/>
      <c r="V24" s="24"/>
    </row>
    <row r="25" spans="6:22" ht="6" customHeight="1" x14ac:dyDescent="0.2">
      <c r="F25" s="40"/>
      <c r="I25" s="180"/>
      <c r="J25" s="181"/>
      <c r="K25" s="181"/>
      <c r="L25" s="181"/>
      <c r="M25" s="181"/>
      <c r="N25" s="181"/>
      <c r="O25" s="11"/>
      <c r="P25" s="180"/>
      <c r="Q25" s="181"/>
      <c r="R25" s="181"/>
      <c r="S25" s="181"/>
      <c r="T25" s="181"/>
      <c r="U25" s="181"/>
    </row>
    <row r="26" spans="6:22" x14ac:dyDescent="0.2">
      <c r="F26" s="14" t="s">
        <v>21</v>
      </c>
      <c r="G26" s="15">
        <v>1.5</v>
      </c>
      <c r="H26" s="16" t="s">
        <v>16</v>
      </c>
      <c r="I26" s="18">
        <f>'[1]Water_New OD_90_H=1.5 m'!AA15</f>
        <v>155.69980237134871</v>
      </c>
      <c r="J26" s="18">
        <f>'[1]Water_New OD_90_H=1.5 m'!AO15</f>
        <v>210.5413238223789</v>
      </c>
      <c r="K26" s="19">
        <f>(J26-I26)/J26</f>
        <v>0.26047865784911989</v>
      </c>
      <c r="L26" s="20">
        <f>[1]WATER_Reinstatement!$C$20</f>
        <v>167.28633975934412</v>
      </c>
      <c r="M26" s="21">
        <v>0.8</v>
      </c>
      <c r="N26" s="20">
        <f>J26+M26*1*L26</f>
        <v>344.37039562985422</v>
      </c>
      <c r="P26" s="18">
        <f>'[1]Water_New OD_90_H=1.5 m'!AA14</f>
        <v>99.677956326766349</v>
      </c>
      <c r="Q26" s="18">
        <f>'[1]Water_New OD_90_H=1.5 m'!AO14</f>
        <v>175.55064286493067</v>
      </c>
      <c r="R26" s="19">
        <f>(Q26-P26)/Q26</f>
        <v>0.43219828364024304</v>
      </c>
      <c r="S26" s="20">
        <f>[1]WATER_Reinstatement!$C$20</f>
        <v>167.28633975934412</v>
      </c>
      <c r="T26" s="21">
        <v>0.8</v>
      </c>
      <c r="U26" s="20">
        <f>Q26+T26*1*S26</f>
        <v>309.37971467240595</v>
      </c>
      <c r="V26" s="24"/>
    </row>
    <row r="27" spans="6:22" x14ac:dyDescent="0.2">
      <c r="F27" s="14" t="s">
        <v>21</v>
      </c>
      <c r="G27" s="15">
        <v>1.5</v>
      </c>
      <c r="H27" s="16" t="s">
        <v>17</v>
      </c>
      <c r="I27" s="20">
        <f>I26</f>
        <v>155.69980237134871</v>
      </c>
      <c r="J27" s="20">
        <f>J26</f>
        <v>210.5413238223789</v>
      </c>
      <c r="K27" s="23">
        <f>K26</f>
        <v>0.26047865784911989</v>
      </c>
      <c r="L27" s="20">
        <f>[1]WATER_Reinstatement!$P$20</f>
        <v>164.01041731565468</v>
      </c>
      <c r="M27" s="21">
        <v>0.8</v>
      </c>
      <c r="N27" s="20">
        <f>J27+M27*1*L27</f>
        <v>341.74965767490266</v>
      </c>
      <c r="P27" s="20">
        <f>P26</f>
        <v>99.677956326766349</v>
      </c>
      <c r="Q27" s="20">
        <f>Q26</f>
        <v>175.55064286493067</v>
      </c>
      <c r="R27" s="23">
        <f>R26</f>
        <v>0.43219828364024304</v>
      </c>
      <c r="S27" s="20">
        <f>[1]WATER_Reinstatement!$P$20</f>
        <v>164.01041731565468</v>
      </c>
      <c r="T27" s="21">
        <v>0.8</v>
      </c>
      <c r="U27" s="20">
        <f>Q27+T27*1*S27</f>
        <v>306.7589767174544</v>
      </c>
      <c r="V27" s="24"/>
    </row>
    <row r="28" spans="6:22" x14ac:dyDescent="0.2">
      <c r="F28" s="14" t="s">
        <v>21</v>
      </c>
      <c r="G28" s="15">
        <v>1.5</v>
      </c>
      <c r="H28" s="16" t="s">
        <v>18</v>
      </c>
      <c r="I28" s="20">
        <f>I26</f>
        <v>155.69980237134871</v>
      </c>
      <c r="J28" s="20">
        <f>J26</f>
        <v>210.5413238223789</v>
      </c>
      <c r="K28" s="23">
        <f>K26</f>
        <v>0.26047865784911989</v>
      </c>
      <c r="L28" s="20">
        <f>[1]WATER_Reinstatement!$AA$20</f>
        <v>82.936542797695623</v>
      </c>
      <c r="M28" s="21">
        <v>0.8</v>
      </c>
      <c r="N28" s="20">
        <f>J28+M28*1*L28</f>
        <v>276.8905580605354</v>
      </c>
      <c r="P28" s="20">
        <f>P26</f>
        <v>99.677956326766349</v>
      </c>
      <c r="Q28" s="20">
        <f>Q26</f>
        <v>175.55064286493067</v>
      </c>
      <c r="R28" s="23">
        <f>R26</f>
        <v>0.43219828364024304</v>
      </c>
      <c r="S28" s="20">
        <f>[1]WATER_Reinstatement!$AA$20</f>
        <v>82.936542797695623</v>
      </c>
      <c r="T28" s="21">
        <v>0.8</v>
      </c>
      <c r="U28" s="20">
        <f>Q28+T28*1*S28</f>
        <v>241.89987710308716</v>
      </c>
      <c r="V28" s="24"/>
    </row>
    <row r="29" spans="6:22" x14ac:dyDescent="0.2">
      <c r="F29" s="14" t="s">
        <v>21</v>
      </c>
      <c r="G29" s="15">
        <v>1.5</v>
      </c>
      <c r="H29" s="16" t="s">
        <v>19</v>
      </c>
      <c r="I29" s="20">
        <f>I26</f>
        <v>155.69980237134871</v>
      </c>
      <c r="J29" s="20">
        <f>J26</f>
        <v>210.5413238223789</v>
      </c>
      <c r="K29" s="23">
        <f>K26</f>
        <v>0.26047865784911989</v>
      </c>
      <c r="L29" s="20">
        <f>[1]WATER_Reinstatement!$AL$20</f>
        <v>34.229193013075353</v>
      </c>
      <c r="M29" s="21">
        <v>0.8</v>
      </c>
      <c r="N29" s="20">
        <f>J29+M29*1*L29</f>
        <v>237.9246782328392</v>
      </c>
      <c r="P29" s="20">
        <f>P26</f>
        <v>99.677956326766349</v>
      </c>
      <c r="Q29" s="20">
        <f>Q26</f>
        <v>175.55064286493067</v>
      </c>
      <c r="R29" s="23">
        <f>R26</f>
        <v>0.43219828364024304</v>
      </c>
      <c r="S29" s="20">
        <f>[1]WATER_Reinstatement!$AL$20</f>
        <v>34.229193013075353</v>
      </c>
      <c r="T29" s="21">
        <v>0.8</v>
      </c>
      <c r="U29" s="20">
        <f>Q29+T29*1*S29</f>
        <v>202.93399727539094</v>
      </c>
      <c r="V29" s="24"/>
    </row>
    <row r="30" spans="6:22" x14ac:dyDescent="0.2">
      <c r="F30" s="25"/>
      <c r="G30" s="26"/>
      <c r="H30" s="27"/>
      <c r="I30" s="180"/>
      <c r="J30" s="181"/>
      <c r="K30" s="181"/>
      <c r="L30" s="181"/>
      <c r="M30" s="181"/>
      <c r="N30" s="181"/>
      <c r="O30" s="11"/>
      <c r="P30" s="180"/>
      <c r="Q30" s="181"/>
      <c r="R30" s="181"/>
      <c r="S30" s="181"/>
      <c r="T30" s="181"/>
      <c r="U30" s="181"/>
      <c r="V30" s="30"/>
    </row>
    <row r="31" spans="6:22" x14ac:dyDescent="0.2">
      <c r="F31" s="14" t="s">
        <v>21</v>
      </c>
      <c r="G31" s="15">
        <v>2</v>
      </c>
      <c r="H31" s="16" t="s">
        <v>16</v>
      </c>
      <c r="I31" s="18">
        <f>'[1]Water_New OD90_H=2.0 m'!Y16</f>
        <v>163.53373166148413</v>
      </c>
      <c r="J31" s="18">
        <f>'[1]Water_New OD90_H=2.0 m'!AL16</f>
        <v>208.91920589702193</v>
      </c>
      <c r="K31" s="19">
        <f>(J31-I31)/J31</f>
        <v>0.21723935834749769</v>
      </c>
      <c r="L31" s="20">
        <f>[1]WATER_Reinstatement!$C$20</f>
        <v>167.28633975934412</v>
      </c>
      <c r="M31" s="21">
        <v>0.8</v>
      </c>
      <c r="N31" s="20">
        <f>J31+M31*1*L31</f>
        <v>342.74827770449724</v>
      </c>
      <c r="P31" s="42">
        <f>'[1]Water_New OD90_H=2.0 m'!Y15</f>
        <v>112.43573587606535</v>
      </c>
      <c r="Q31" s="18">
        <f>'[1]Water_New OD90_H=2.0 m'!AL15</f>
        <v>142.37675844064574</v>
      </c>
      <c r="R31" s="19">
        <f>(Q31-P31)/Q31</f>
        <v>0.21029431272704707</v>
      </c>
      <c r="S31" s="20">
        <f>[1]WATER_Reinstatement!$C$20</f>
        <v>167.28633975934412</v>
      </c>
      <c r="T31" s="21">
        <v>0.8</v>
      </c>
      <c r="U31" s="20">
        <f>Q31+T31*1*S31</f>
        <v>276.20583024812106</v>
      </c>
      <c r="V31" s="24"/>
    </row>
    <row r="32" spans="6:22" x14ac:dyDescent="0.2">
      <c r="F32" s="14" t="s">
        <v>21</v>
      </c>
      <c r="G32" s="15">
        <v>2</v>
      </c>
      <c r="H32" s="16" t="s">
        <v>17</v>
      </c>
      <c r="I32" s="20">
        <f>I31</f>
        <v>163.53373166148413</v>
      </c>
      <c r="J32" s="20">
        <f>J31</f>
        <v>208.91920589702193</v>
      </c>
      <c r="K32" s="23">
        <f>K31</f>
        <v>0.21723935834749769</v>
      </c>
      <c r="L32" s="20">
        <f>[1]WATER_Reinstatement!$P$20</f>
        <v>164.01041731565468</v>
      </c>
      <c r="M32" s="21">
        <v>0.8</v>
      </c>
      <c r="N32" s="20">
        <f>J32+M32*1*L32</f>
        <v>340.12753974954569</v>
      </c>
      <c r="P32" s="43">
        <f>P31</f>
        <v>112.43573587606535</v>
      </c>
      <c r="Q32" s="20">
        <f>Q31</f>
        <v>142.37675844064574</v>
      </c>
      <c r="R32" s="23">
        <f>R31</f>
        <v>0.21029431272704707</v>
      </c>
      <c r="S32" s="20">
        <f>[1]WATER_Reinstatement!$P$20</f>
        <v>164.01041731565468</v>
      </c>
      <c r="T32" s="21">
        <v>0.8</v>
      </c>
      <c r="U32" s="20">
        <f>Q32+T32*1*S32</f>
        <v>273.58509229316951</v>
      </c>
      <c r="V32" s="24"/>
    </row>
    <row r="33" spans="5:22" x14ac:dyDescent="0.2">
      <c r="F33" s="14" t="s">
        <v>21</v>
      </c>
      <c r="G33" s="15">
        <v>2</v>
      </c>
      <c r="H33" s="16" t="s">
        <v>18</v>
      </c>
      <c r="I33" s="20">
        <f>I31</f>
        <v>163.53373166148413</v>
      </c>
      <c r="J33" s="20">
        <f>J31</f>
        <v>208.91920589702193</v>
      </c>
      <c r="K33" s="23">
        <f>K31</f>
        <v>0.21723935834749769</v>
      </c>
      <c r="L33" s="20">
        <f>[1]WATER_Reinstatement!$AA$20</f>
        <v>82.936542797695623</v>
      </c>
      <c r="M33" s="21">
        <v>0.8</v>
      </c>
      <c r="N33" s="20">
        <f>J33+M33*1*L33</f>
        <v>275.26844013517842</v>
      </c>
      <c r="P33" s="43">
        <f>P31</f>
        <v>112.43573587606535</v>
      </c>
      <c r="Q33" s="20">
        <f>Q31</f>
        <v>142.37675844064574</v>
      </c>
      <c r="R33" s="23">
        <f>R31</f>
        <v>0.21029431272704707</v>
      </c>
      <c r="S33" s="20">
        <f>[1]WATER_Reinstatement!$AA$20</f>
        <v>82.936542797695623</v>
      </c>
      <c r="T33" s="21">
        <v>0.8</v>
      </c>
      <c r="U33" s="20">
        <f>Q33+T33*1*S33</f>
        <v>208.72599267880224</v>
      </c>
      <c r="V33" s="24"/>
    </row>
    <row r="34" spans="5:22" x14ac:dyDescent="0.2">
      <c r="F34" s="14" t="s">
        <v>21</v>
      </c>
      <c r="G34" s="15">
        <v>2</v>
      </c>
      <c r="H34" s="16" t="s">
        <v>19</v>
      </c>
      <c r="I34" s="20">
        <f>I31</f>
        <v>163.53373166148413</v>
      </c>
      <c r="J34" s="20">
        <f>J31</f>
        <v>208.91920589702193</v>
      </c>
      <c r="K34" s="23">
        <f>K31</f>
        <v>0.21723935834749769</v>
      </c>
      <c r="L34" s="20">
        <f>[1]WATER_Reinstatement!$AL$20</f>
        <v>34.229193013075353</v>
      </c>
      <c r="M34" s="21">
        <v>0.8</v>
      </c>
      <c r="N34" s="20">
        <f>J34+M34*1*L34</f>
        <v>236.30256030748222</v>
      </c>
      <c r="P34" s="43">
        <f>P31</f>
        <v>112.43573587606535</v>
      </c>
      <c r="Q34" s="20">
        <f>Q31</f>
        <v>142.37675844064574</v>
      </c>
      <c r="R34" s="23">
        <f>R31</f>
        <v>0.21029431272704707</v>
      </c>
      <c r="S34" s="20">
        <f>[1]WATER_Reinstatement!$AL$20</f>
        <v>34.229193013075353</v>
      </c>
      <c r="T34" s="21">
        <v>0.8</v>
      </c>
      <c r="U34" s="20">
        <f>Q34+T34*1*S34</f>
        <v>169.76011285110604</v>
      </c>
      <c r="V34" s="24"/>
    </row>
    <row r="35" spans="5:22" ht="6" customHeight="1" x14ac:dyDescent="0.2">
      <c r="F35" s="25"/>
      <c r="G35" s="26"/>
      <c r="H35" s="27"/>
      <c r="I35" s="27"/>
      <c r="J35" s="27"/>
      <c r="K35" s="28"/>
      <c r="L35" s="44"/>
      <c r="M35" s="29"/>
      <c r="N35" s="44"/>
      <c r="V35" s="30"/>
    </row>
    <row r="36" spans="5:22" ht="14.25" customHeight="1" x14ac:dyDescent="0.2">
      <c r="F36" s="14" t="s">
        <v>21</v>
      </c>
      <c r="G36" s="15">
        <v>2.5</v>
      </c>
      <c r="H36" s="16" t="s">
        <v>16</v>
      </c>
      <c r="I36" s="164" t="s">
        <v>20</v>
      </c>
      <c r="J36" s="165"/>
      <c r="K36" s="165"/>
      <c r="L36" s="165"/>
      <c r="M36" s="165"/>
      <c r="N36" s="166"/>
      <c r="O36" s="37"/>
      <c r="P36" s="164" t="s">
        <v>20</v>
      </c>
      <c r="Q36" s="165"/>
      <c r="R36" s="165"/>
      <c r="S36" s="165"/>
      <c r="T36" s="165"/>
      <c r="U36" s="166"/>
      <c r="V36" s="24"/>
    </row>
    <row r="37" spans="5:22" ht="14.25" customHeight="1" x14ac:dyDescent="0.2">
      <c r="F37" s="14" t="s">
        <v>21</v>
      </c>
      <c r="G37" s="15">
        <v>2.5</v>
      </c>
      <c r="H37" s="16" t="s">
        <v>17</v>
      </c>
      <c r="I37" s="167"/>
      <c r="J37" s="168"/>
      <c r="K37" s="168"/>
      <c r="L37" s="168"/>
      <c r="M37" s="168"/>
      <c r="N37" s="169"/>
      <c r="O37" s="38"/>
      <c r="P37" s="167"/>
      <c r="Q37" s="168"/>
      <c r="R37" s="168"/>
      <c r="S37" s="168"/>
      <c r="T37" s="168"/>
      <c r="U37" s="169"/>
      <c r="V37" s="24"/>
    </row>
    <row r="38" spans="5:22" ht="14.25" customHeight="1" x14ac:dyDescent="0.2">
      <c r="F38" s="14" t="s">
        <v>21</v>
      </c>
      <c r="G38" s="15">
        <v>2.5</v>
      </c>
      <c r="H38" s="16" t="s">
        <v>18</v>
      </c>
      <c r="I38" s="167"/>
      <c r="J38" s="168"/>
      <c r="K38" s="168"/>
      <c r="L38" s="168"/>
      <c r="M38" s="168"/>
      <c r="N38" s="169"/>
      <c r="O38" s="38"/>
      <c r="P38" s="167"/>
      <c r="Q38" s="168"/>
      <c r="R38" s="168"/>
      <c r="S38" s="168"/>
      <c r="T38" s="168"/>
      <c r="U38" s="169"/>
      <c r="V38" s="24"/>
    </row>
    <row r="39" spans="5:22" ht="14.25" customHeight="1" x14ac:dyDescent="0.2">
      <c r="F39" s="14" t="s">
        <v>21</v>
      </c>
      <c r="G39" s="15">
        <v>2.5</v>
      </c>
      <c r="H39" s="16" t="s">
        <v>19</v>
      </c>
      <c r="I39" s="170"/>
      <c r="J39" s="171"/>
      <c r="K39" s="171"/>
      <c r="L39" s="171"/>
      <c r="M39" s="171"/>
      <c r="N39" s="172"/>
      <c r="O39" s="39"/>
      <c r="P39" s="170"/>
      <c r="Q39" s="171"/>
      <c r="R39" s="171"/>
      <c r="S39" s="171"/>
      <c r="T39" s="171"/>
      <c r="U39" s="172"/>
      <c r="V39" s="24"/>
    </row>
    <row r="40" spans="5:22" ht="6" customHeight="1" x14ac:dyDescent="0.2">
      <c r="F40" s="40"/>
      <c r="I40" s="180"/>
      <c r="J40" s="181"/>
      <c r="K40" s="181"/>
      <c r="L40" s="181"/>
      <c r="M40" s="181"/>
      <c r="N40" s="181"/>
      <c r="O40" s="11"/>
      <c r="P40" s="180"/>
      <c r="Q40" s="181"/>
      <c r="R40" s="181"/>
      <c r="S40" s="181"/>
      <c r="T40" s="181"/>
      <c r="U40" s="181"/>
    </row>
    <row r="41" spans="5:22" x14ac:dyDescent="0.2">
      <c r="E41" s="112">
        <v>0.1</v>
      </c>
      <c r="F41" s="14" t="s">
        <v>22</v>
      </c>
      <c r="G41" s="15">
        <v>1.5</v>
      </c>
      <c r="H41" s="16" t="s">
        <v>16</v>
      </c>
      <c r="I41" s="18">
        <f>'[1]Water_New OD110_H=1.5 m'!Y19</f>
        <v>221.42289190532594</v>
      </c>
      <c r="J41" s="18">
        <f>'[1]Water_New OD110_H=1.5 m'!AN19</f>
        <v>366.99450265040508</v>
      </c>
      <c r="K41" s="19">
        <f>(J41-I41)/J41</f>
        <v>0.39665883192737916</v>
      </c>
      <c r="L41" s="20">
        <f>[1]WATER_Reinstatement!$C$20</f>
        <v>167.28633975934412</v>
      </c>
      <c r="M41" s="21">
        <v>0.8</v>
      </c>
      <c r="N41" s="20">
        <f>J41+M41*1*L41</f>
        <v>500.82357445788034</v>
      </c>
      <c r="P41" s="18">
        <f>'[1]Water_New OD110_H=1.5 m'!Y18</f>
        <v>137.93758806268826</v>
      </c>
      <c r="Q41" s="18">
        <f>'[1]Water_New OD110_H=1.5 m'!AN18</f>
        <v>208.22549275338704</v>
      </c>
      <c r="R41" s="19">
        <f>(Q41-P41)/Q41</f>
        <v>0.33755667359108921</v>
      </c>
      <c r="S41" s="20">
        <f>[1]WATER_Reinstatement!$C$20</f>
        <v>167.28633975934412</v>
      </c>
      <c r="T41" s="21">
        <v>0.8</v>
      </c>
      <c r="U41" s="20">
        <f>Q41+T41*1*S41</f>
        <v>342.05456456086233</v>
      </c>
      <c r="V41" s="24"/>
    </row>
    <row r="42" spans="5:22" x14ac:dyDescent="0.2">
      <c r="E42" s="112">
        <v>0.5</v>
      </c>
      <c r="F42" s="14" t="s">
        <v>22</v>
      </c>
      <c r="G42" s="15">
        <v>1.5</v>
      </c>
      <c r="H42" s="16" t="s">
        <v>17</v>
      </c>
      <c r="I42" s="20">
        <f>I41</f>
        <v>221.42289190532594</v>
      </c>
      <c r="J42" s="20">
        <f>J41</f>
        <v>366.99450265040508</v>
      </c>
      <c r="K42" s="23">
        <f>K41</f>
        <v>0.39665883192737916</v>
      </c>
      <c r="L42" s="20">
        <f>[1]WATER_Reinstatement!$P$20</f>
        <v>164.01041731565468</v>
      </c>
      <c r="M42" s="21">
        <v>0.8</v>
      </c>
      <c r="N42" s="20">
        <f>J42+M42*1*L42</f>
        <v>498.20283650292879</v>
      </c>
      <c r="P42" s="20">
        <f>P41</f>
        <v>137.93758806268826</v>
      </c>
      <c r="Q42" s="20">
        <f>Q41</f>
        <v>208.22549275338704</v>
      </c>
      <c r="R42" s="23">
        <f>R41</f>
        <v>0.33755667359108921</v>
      </c>
      <c r="S42" s="20">
        <f>[1]WATER_Reinstatement!$P$20</f>
        <v>164.01041731565468</v>
      </c>
      <c r="T42" s="21">
        <v>0.8</v>
      </c>
      <c r="U42" s="20">
        <f>Q42+T42*1*S42</f>
        <v>339.43382660591078</v>
      </c>
      <c r="V42" s="24"/>
    </row>
    <row r="43" spans="5:22" x14ac:dyDescent="0.2">
      <c r="E43" s="112">
        <v>0.2</v>
      </c>
      <c r="F43" s="14" t="s">
        <v>22</v>
      </c>
      <c r="G43" s="15">
        <v>1.5</v>
      </c>
      <c r="H43" s="16" t="s">
        <v>18</v>
      </c>
      <c r="I43" s="20">
        <f>I41</f>
        <v>221.42289190532594</v>
      </c>
      <c r="J43" s="20">
        <f>J41</f>
        <v>366.99450265040508</v>
      </c>
      <c r="K43" s="23">
        <f>K41</f>
        <v>0.39665883192737916</v>
      </c>
      <c r="L43" s="20">
        <f>[1]WATER_Reinstatement!$AA$20</f>
        <v>82.936542797695623</v>
      </c>
      <c r="M43" s="21">
        <v>0.8</v>
      </c>
      <c r="N43" s="20">
        <f>J43+M43*1*L43</f>
        <v>433.34373688856158</v>
      </c>
      <c r="P43" s="20">
        <f>P41</f>
        <v>137.93758806268826</v>
      </c>
      <c r="Q43" s="20">
        <f>Q41</f>
        <v>208.22549275338704</v>
      </c>
      <c r="R43" s="23">
        <f>R41</f>
        <v>0.33755667359108921</v>
      </c>
      <c r="S43" s="20">
        <f>[1]WATER_Reinstatement!$AA$20</f>
        <v>82.936542797695623</v>
      </c>
      <c r="T43" s="21">
        <v>0.8</v>
      </c>
      <c r="U43" s="20">
        <f>Q43+T43*1*S43</f>
        <v>274.57472699154357</v>
      </c>
      <c r="V43" s="24"/>
    </row>
    <row r="44" spans="5:22" x14ac:dyDescent="0.2">
      <c r="E44" s="112">
        <v>0.2</v>
      </c>
      <c r="F44" s="14" t="s">
        <v>22</v>
      </c>
      <c r="G44" s="15">
        <v>1.5</v>
      </c>
      <c r="H44" s="16" t="s">
        <v>19</v>
      </c>
      <c r="I44" s="20">
        <f>I41</f>
        <v>221.42289190532594</v>
      </c>
      <c r="J44" s="20">
        <f>J41</f>
        <v>366.99450265040508</v>
      </c>
      <c r="K44" s="23">
        <f>K41</f>
        <v>0.39665883192737916</v>
      </c>
      <c r="L44" s="20">
        <f>[1]WATER_Reinstatement!$AL$20</f>
        <v>34.229193013075353</v>
      </c>
      <c r="M44" s="21">
        <v>0.8</v>
      </c>
      <c r="N44" s="20">
        <f>J44+M44*1*L44</f>
        <v>394.37785706086538</v>
      </c>
      <c r="P44" s="20">
        <f>P41</f>
        <v>137.93758806268826</v>
      </c>
      <c r="Q44" s="20">
        <f>Q41</f>
        <v>208.22549275338704</v>
      </c>
      <c r="R44" s="23">
        <f>R41</f>
        <v>0.33755667359108921</v>
      </c>
      <c r="S44" s="20">
        <f>[1]WATER_Reinstatement!$AL$20</f>
        <v>34.229193013075353</v>
      </c>
      <c r="T44" s="21">
        <v>0.8</v>
      </c>
      <c r="U44" s="20">
        <f>Q44+T44*1*S44</f>
        <v>235.60884716384732</v>
      </c>
      <c r="V44" s="24"/>
    </row>
    <row r="45" spans="5:22" ht="6" customHeight="1" x14ac:dyDescent="0.2">
      <c r="F45" s="25"/>
      <c r="G45" s="26"/>
      <c r="H45" s="27"/>
      <c r="I45" s="180"/>
      <c r="J45" s="181"/>
      <c r="K45" s="181"/>
      <c r="L45" s="181"/>
      <c r="M45" s="181"/>
      <c r="N45" s="181"/>
      <c r="O45" s="11"/>
      <c r="P45" s="180"/>
      <c r="Q45" s="181"/>
      <c r="R45" s="181"/>
      <c r="S45" s="181"/>
      <c r="T45" s="181"/>
      <c r="U45" s="181"/>
      <c r="V45" s="30"/>
    </row>
    <row r="46" spans="5:22" x14ac:dyDescent="0.2">
      <c r="F46" s="14" t="s">
        <v>22</v>
      </c>
      <c r="G46" s="15">
        <v>2</v>
      </c>
      <c r="H46" s="16" t="s">
        <v>16</v>
      </c>
      <c r="I46" s="18">
        <f>'[1]Water_New OD110_H=2.0 m'!Y19</f>
        <v>231.83793955095319</v>
      </c>
      <c r="J46" s="18">
        <f>'[1]Water_New OD110_H=2.0 m'!AL19</f>
        <v>441.08300597060042</v>
      </c>
      <c r="K46" s="19">
        <f>(J46-I46)/J46</f>
        <v>0.47438931808130935</v>
      </c>
      <c r="L46" s="20">
        <f>[1]WATER_Reinstatement!$C$20</f>
        <v>167.28633975934412</v>
      </c>
      <c r="M46" s="21">
        <v>0.8</v>
      </c>
      <c r="N46" s="20">
        <f>J46+M46*1*L46</f>
        <v>574.91207777807574</v>
      </c>
      <c r="P46" s="18">
        <f>'[1]Water_New OD110_H=2.0 m'!Y18</f>
        <v>159.52100555417655</v>
      </c>
      <c r="Q46" s="18">
        <f>'[1]Water_New OD110_H=2.0 m'!AL18</f>
        <v>217.38994629195261</v>
      </c>
      <c r="R46" s="19">
        <f>(Q46-P46)/Q46</f>
        <v>0.26619879035279131</v>
      </c>
      <c r="S46" s="20">
        <f>[1]WATER_Reinstatement!$C$20</f>
        <v>167.28633975934412</v>
      </c>
      <c r="T46" s="21">
        <v>0.8</v>
      </c>
      <c r="U46" s="20">
        <f>Q46+T46*1*S46</f>
        <v>351.2190180994279</v>
      </c>
      <c r="V46" s="24"/>
    </row>
    <row r="47" spans="5:22" x14ac:dyDescent="0.2">
      <c r="F47" s="14" t="s">
        <v>22</v>
      </c>
      <c r="G47" s="15">
        <v>2</v>
      </c>
      <c r="H47" s="16" t="s">
        <v>17</v>
      </c>
      <c r="I47" s="20">
        <f>I46</f>
        <v>231.83793955095319</v>
      </c>
      <c r="J47" s="20">
        <f>J46</f>
        <v>441.08300597060042</v>
      </c>
      <c r="K47" s="23">
        <f>K46</f>
        <v>0.47438931808130935</v>
      </c>
      <c r="L47" s="20">
        <f>[1]WATER_Reinstatement!$P$20</f>
        <v>164.01041731565468</v>
      </c>
      <c r="M47" s="21">
        <v>0.8</v>
      </c>
      <c r="N47" s="20">
        <f>J47+M47*1*L47</f>
        <v>572.29133982312419</v>
      </c>
      <c r="P47" s="20">
        <f>P46</f>
        <v>159.52100555417655</v>
      </c>
      <c r="Q47" s="20">
        <f>Q46</f>
        <v>217.38994629195261</v>
      </c>
      <c r="R47" s="23">
        <f>R46</f>
        <v>0.26619879035279131</v>
      </c>
      <c r="S47" s="20">
        <f>[1]WATER_Reinstatement!$P$20</f>
        <v>164.01041731565468</v>
      </c>
      <c r="T47" s="21">
        <v>0.8</v>
      </c>
      <c r="U47" s="20">
        <f>Q47+T47*1*S47</f>
        <v>348.59828014447635</v>
      </c>
      <c r="V47" s="24"/>
    </row>
    <row r="48" spans="5:22" x14ac:dyDescent="0.2">
      <c r="F48" s="14" t="s">
        <v>22</v>
      </c>
      <c r="G48" s="15">
        <v>2</v>
      </c>
      <c r="H48" s="16" t="s">
        <v>18</v>
      </c>
      <c r="I48" s="20">
        <f>I46</f>
        <v>231.83793955095319</v>
      </c>
      <c r="J48" s="20">
        <f>J46</f>
        <v>441.08300597060042</v>
      </c>
      <c r="K48" s="23">
        <f>K46</f>
        <v>0.47438931808130935</v>
      </c>
      <c r="L48" s="20">
        <f>[1]WATER_Reinstatement!$AA$20</f>
        <v>82.936542797695623</v>
      </c>
      <c r="M48" s="21">
        <v>0.8</v>
      </c>
      <c r="N48" s="20">
        <f>J48+M48*1*L48</f>
        <v>507.43224020875692</v>
      </c>
      <c r="P48" s="20">
        <f>P46</f>
        <v>159.52100555417655</v>
      </c>
      <c r="Q48" s="20">
        <f>Q46</f>
        <v>217.38994629195261</v>
      </c>
      <c r="R48" s="23">
        <f>R46</f>
        <v>0.26619879035279131</v>
      </c>
      <c r="S48" s="20">
        <f>[1]WATER_Reinstatement!$AA$20</f>
        <v>82.936542797695623</v>
      </c>
      <c r="T48" s="21">
        <v>0.8</v>
      </c>
      <c r="U48" s="20">
        <f>Q48+T48*1*S48</f>
        <v>283.73918053010914</v>
      </c>
      <c r="V48" s="24"/>
    </row>
    <row r="49" spans="6:22" x14ac:dyDescent="0.2">
      <c r="F49" s="14" t="s">
        <v>22</v>
      </c>
      <c r="G49" s="15">
        <v>2</v>
      </c>
      <c r="H49" s="16" t="s">
        <v>19</v>
      </c>
      <c r="I49" s="20">
        <f>I46</f>
        <v>231.83793955095319</v>
      </c>
      <c r="J49" s="20">
        <f>J46</f>
        <v>441.08300597060042</v>
      </c>
      <c r="K49" s="23">
        <f>K46</f>
        <v>0.47438931808130935</v>
      </c>
      <c r="L49" s="20">
        <f>[1]WATER_Reinstatement!$AL$20</f>
        <v>34.229193013075353</v>
      </c>
      <c r="M49" s="21">
        <v>0.8</v>
      </c>
      <c r="N49" s="20">
        <f>J49+M49*1*L49</f>
        <v>468.46636038106072</v>
      </c>
      <c r="P49" s="20">
        <f>P46</f>
        <v>159.52100555417655</v>
      </c>
      <c r="Q49" s="20">
        <f>Q46</f>
        <v>217.38994629195261</v>
      </c>
      <c r="R49" s="23">
        <f>R46</f>
        <v>0.26619879035279131</v>
      </c>
      <c r="S49" s="20">
        <f>[1]WATER_Reinstatement!$AL$20</f>
        <v>34.229193013075353</v>
      </c>
      <c r="T49" s="21">
        <v>0.8</v>
      </c>
      <c r="U49" s="20">
        <f>Q49+T49*1*S49</f>
        <v>244.77330070241288</v>
      </c>
      <c r="V49" s="24"/>
    </row>
    <row r="50" spans="6:22" ht="6" customHeight="1" x14ac:dyDescent="0.2">
      <c r="F50" s="25"/>
      <c r="G50" s="26"/>
      <c r="H50" s="27"/>
      <c r="I50" s="27"/>
      <c r="J50" s="44"/>
      <c r="K50" s="28"/>
      <c r="L50" s="44"/>
      <c r="M50" s="29"/>
      <c r="N50" s="44"/>
      <c r="V50" s="30"/>
    </row>
    <row r="51" spans="6:22" x14ac:dyDescent="0.2">
      <c r="F51" s="14" t="s">
        <v>22</v>
      </c>
      <c r="G51" s="15">
        <v>2.5</v>
      </c>
      <c r="H51" s="16" t="s">
        <v>16</v>
      </c>
      <c r="I51" s="18">
        <f>'[1]Water_New OD110_H=2.5 m'!AA17</f>
        <v>207.35300303155108</v>
      </c>
      <c r="J51" s="18">
        <f>'[1]Water_New OD110_H=2.5 m'!AN17</f>
        <v>321.49662120326707</v>
      </c>
      <c r="K51" s="19">
        <f>(J51-I51)/J51</f>
        <v>0.35503831344948533</v>
      </c>
      <c r="L51" s="20">
        <f>[1]WATER_Reinstatement!$C$20</f>
        <v>167.28633975934412</v>
      </c>
      <c r="M51" s="21">
        <v>0.8</v>
      </c>
      <c r="N51" s="20">
        <f>J51+M51*1*L51</f>
        <v>455.32569301074238</v>
      </c>
      <c r="P51" s="164" t="s">
        <v>20</v>
      </c>
      <c r="Q51" s="165"/>
      <c r="R51" s="165"/>
      <c r="S51" s="165"/>
      <c r="T51" s="165"/>
      <c r="U51" s="166"/>
      <c r="V51" s="177" t="s">
        <v>23</v>
      </c>
    </row>
    <row r="52" spans="6:22" x14ac:dyDescent="0.2">
      <c r="F52" s="14" t="s">
        <v>22</v>
      </c>
      <c r="G52" s="15">
        <v>2.5</v>
      </c>
      <c r="H52" s="16" t="s">
        <v>17</v>
      </c>
      <c r="I52" s="20">
        <f>I51</f>
        <v>207.35300303155108</v>
      </c>
      <c r="J52" s="20">
        <f>J51</f>
        <v>321.49662120326707</v>
      </c>
      <c r="K52" s="23">
        <f>K51</f>
        <v>0.35503831344948533</v>
      </c>
      <c r="L52" s="20">
        <f>[1]WATER_Reinstatement!$P$20</f>
        <v>164.01041731565468</v>
      </c>
      <c r="M52" s="21">
        <v>0.8</v>
      </c>
      <c r="N52" s="20">
        <f>J52+M52*1*L52</f>
        <v>452.70495505579083</v>
      </c>
      <c r="P52" s="167"/>
      <c r="Q52" s="168"/>
      <c r="R52" s="168"/>
      <c r="S52" s="168"/>
      <c r="T52" s="168"/>
      <c r="U52" s="169"/>
      <c r="V52" s="178"/>
    </row>
    <row r="53" spans="6:22" x14ac:dyDescent="0.2">
      <c r="F53" s="14" t="s">
        <v>22</v>
      </c>
      <c r="G53" s="15">
        <v>2.5</v>
      </c>
      <c r="H53" s="16" t="s">
        <v>18</v>
      </c>
      <c r="I53" s="20">
        <f>I51</f>
        <v>207.35300303155108</v>
      </c>
      <c r="J53" s="20">
        <f>J51</f>
        <v>321.49662120326707</v>
      </c>
      <c r="K53" s="23">
        <f>K51</f>
        <v>0.35503831344948533</v>
      </c>
      <c r="L53" s="20">
        <f>[1]WATER_Reinstatement!$AA$20</f>
        <v>82.936542797695623</v>
      </c>
      <c r="M53" s="21">
        <v>0.8</v>
      </c>
      <c r="N53" s="20">
        <f>J53+M53*1*L53</f>
        <v>387.84585544142357</v>
      </c>
      <c r="P53" s="167"/>
      <c r="Q53" s="168"/>
      <c r="R53" s="168"/>
      <c r="S53" s="168"/>
      <c r="T53" s="168"/>
      <c r="U53" s="169"/>
      <c r="V53" s="178"/>
    </row>
    <row r="54" spans="6:22" x14ac:dyDescent="0.2">
      <c r="F54" s="14" t="s">
        <v>22</v>
      </c>
      <c r="G54" s="15">
        <v>2.5</v>
      </c>
      <c r="H54" s="16" t="s">
        <v>19</v>
      </c>
      <c r="I54" s="20">
        <f>I51</f>
        <v>207.35300303155108</v>
      </c>
      <c r="J54" s="20">
        <f>J51</f>
        <v>321.49662120326707</v>
      </c>
      <c r="K54" s="23">
        <f>K51</f>
        <v>0.35503831344948533</v>
      </c>
      <c r="L54" s="20">
        <f>[1]WATER_Reinstatement!$AL$20</f>
        <v>34.229193013075353</v>
      </c>
      <c r="M54" s="21">
        <v>0.8</v>
      </c>
      <c r="N54" s="20">
        <f>J54+M54*1*L54</f>
        <v>348.87997561372737</v>
      </c>
      <c r="P54" s="170"/>
      <c r="Q54" s="171"/>
      <c r="R54" s="171"/>
      <c r="S54" s="171"/>
      <c r="T54" s="171"/>
      <c r="U54" s="172"/>
      <c r="V54" s="179"/>
    </row>
    <row r="55" spans="6:22" ht="6" customHeight="1" x14ac:dyDescent="0.2">
      <c r="F55" s="25"/>
      <c r="G55" s="26"/>
      <c r="H55" s="27"/>
      <c r="I55" s="27"/>
      <c r="J55" s="27"/>
      <c r="K55" s="28"/>
      <c r="L55" s="44"/>
      <c r="M55" s="29"/>
      <c r="N55" s="44"/>
      <c r="V55" s="27"/>
    </row>
    <row r="56" spans="6:22" x14ac:dyDescent="0.2">
      <c r="F56" s="14" t="s">
        <v>24</v>
      </c>
      <c r="G56" s="15">
        <v>1.5</v>
      </c>
      <c r="H56" s="16" t="s">
        <v>16</v>
      </c>
      <c r="I56" s="164" t="s">
        <v>20</v>
      </c>
      <c r="J56" s="165"/>
      <c r="K56" s="165"/>
      <c r="L56" s="165"/>
      <c r="M56" s="165"/>
      <c r="N56" s="166"/>
      <c r="P56" s="164" t="s">
        <v>20</v>
      </c>
      <c r="Q56" s="165"/>
      <c r="R56" s="165"/>
      <c r="S56" s="165"/>
      <c r="T56" s="165"/>
      <c r="U56" s="166"/>
      <c r="V56" s="24"/>
    </row>
    <row r="57" spans="6:22" x14ac:dyDescent="0.2">
      <c r="F57" s="14" t="s">
        <v>24</v>
      </c>
      <c r="G57" s="15">
        <v>1.5</v>
      </c>
      <c r="H57" s="16" t="s">
        <v>17</v>
      </c>
      <c r="I57" s="167"/>
      <c r="J57" s="168"/>
      <c r="K57" s="168"/>
      <c r="L57" s="168"/>
      <c r="M57" s="168"/>
      <c r="N57" s="169"/>
      <c r="P57" s="167"/>
      <c r="Q57" s="168"/>
      <c r="R57" s="168"/>
      <c r="S57" s="168"/>
      <c r="T57" s="168"/>
      <c r="U57" s="169"/>
      <c r="V57" s="24"/>
    </row>
    <row r="58" spans="6:22" x14ac:dyDescent="0.2">
      <c r="F58" s="14" t="s">
        <v>24</v>
      </c>
      <c r="G58" s="15">
        <v>1.5</v>
      </c>
      <c r="H58" s="16" t="s">
        <v>18</v>
      </c>
      <c r="I58" s="167"/>
      <c r="J58" s="168"/>
      <c r="K58" s="168"/>
      <c r="L58" s="168"/>
      <c r="M58" s="168"/>
      <c r="N58" s="169"/>
      <c r="P58" s="167"/>
      <c r="Q58" s="168"/>
      <c r="R58" s="168"/>
      <c r="S58" s="168"/>
      <c r="T58" s="168"/>
      <c r="U58" s="169"/>
      <c r="V58" s="24"/>
    </row>
    <row r="59" spans="6:22" x14ac:dyDescent="0.2">
      <c r="F59" s="14" t="s">
        <v>24</v>
      </c>
      <c r="G59" s="15">
        <v>1.5</v>
      </c>
      <c r="H59" s="16" t="s">
        <v>19</v>
      </c>
      <c r="I59" s="170"/>
      <c r="J59" s="171"/>
      <c r="K59" s="171"/>
      <c r="L59" s="171"/>
      <c r="M59" s="171"/>
      <c r="N59" s="172"/>
      <c r="P59" s="170"/>
      <c r="Q59" s="171"/>
      <c r="R59" s="171"/>
      <c r="S59" s="171"/>
      <c r="T59" s="171"/>
      <c r="U59" s="172"/>
      <c r="V59" s="24"/>
    </row>
    <row r="60" spans="6:22" ht="6" customHeight="1" x14ac:dyDescent="0.2">
      <c r="F60" s="25"/>
      <c r="G60" s="26"/>
      <c r="H60" s="27"/>
      <c r="I60" s="27"/>
      <c r="J60" s="27"/>
      <c r="K60" s="28"/>
      <c r="L60" s="44"/>
      <c r="M60" s="29"/>
      <c r="N60" s="44"/>
      <c r="V60" s="30"/>
    </row>
    <row r="61" spans="6:22" x14ac:dyDescent="0.2">
      <c r="F61" s="14" t="s">
        <v>24</v>
      </c>
      <c r="G61" s="15">
        <v>2</v>
      </c>
      <c r="H61" s="16" t="s">
        <v>16</v>
      </c>
      <c r="I61" s="164" t="s">
        <v>20</v>
      </c>
      <c r="J61" s="165"/>
      <c r="K61" s="165"/>
      <c r="L61" s="165"/>
      <c r="M61" s="165"/>
      <c r="N61" s="166"/>
      <c r="P61" s="164" t="s">
        <v>20</v>
      </c>
      <c r="Q61" s="165"/>
      <c r="R61" s="165"/>
      <c r="S61" s="165"/>
      <c r="T61" s="165"/>
      <c r="U61" s="166"/>
      <c r="V61" s="24"/>
    </row>
    <row r="62" spans="6:22" x14ac:dyDescent="0.2">
      <c r="F62" s="14" t="s">
        <v>24</v>
      </c>
      <c r="G62" s="15">
        <v>2</v>
      </c>
      <c r="H62" s="16" t="s">
        <v>17</v>
      </c>
      <c r="I62" s="167"/>
      <c r="J62" s="168"/>
      <c r="K62" s="168"/>
      <c r="L62" s="168"/>
      <c r="M62" s="168"/>
      <c r="N62" s="169"/>
      <c r="P62" s="167"/>
      <c r="Q62" s="168"/>
      <c r="R62" s="168"/>
      <c r="S62" s="168"/>
      <c r="T62" s="168"/>
      <c r="U62" s="169"/>
      <c r="V62" s="24"/>
    </row>
    <row r="63" spans="6:22" x14ac:dyDescent="0.2">
      <c r="F63" s="14" t="s">
        <v>24</v>
      </c>
      <c r="G63" s="15">
        <v>2</v>
      </c>
      <c r="H63" s="16" t="s">
        <v>18</v>
      </c>
      <c r="I63" s="167"/>
      <c r="J63" s="168"/>
      <c r="K63" s="168"/>
      <c r="L63" s="168"/>
      <c r="M63" s="168"/>
      <c r="N63" s="169"/>
      <c r="P63" s="167"/>
      <c r="Q63" s="168"/>
      <c r="R63" s="168"/>
      <c r="S63" s="168"/>
      <c r="T63" s="168"/>
      <c r="U63" s="169"/>
      <c r="V63" s="24"/>
    </row>
    <row r="64" spans="6:22" x14ac:dyDescent="0.2">
      <c r="F64" s="14" t="s">
        <v>24</v>
      </c>
      <c r="G64" s="15">
        <v>2</v>
      </c>
      <c r="H64" s="16" t="s">
        <v>19</v>
      </c>
      <c r="I64" s="170"/>
      <c r="J64" s="171"/>
      <c r="K64" s="171"/>
      <c r="L64" s="171"/>
      <c r="M64" s="171"/>
      <c r="N64" s="172"/>
      <c r="P64" s="170"/>
      <c r="Q64" s="171"/>
      <c r="R64" s="171"/>
      <c r="S64" s="171"/>
      <c r="T64" s="171"/>
      <c r="U64" s="172"/>
      <c r="V64" s="24"/>
    </row>
    <row r="65" spans="6:22" ht="6" customHeight="1" x14ac:dyDescent="0.2">
      <c r="F65" s="25"/>
      <c r="G65" s="26"/>
      <c r="H65" s="27"/>
      <c r="I65" s="27"/>
      <c r="J65" s="27"/>
      <c r="K65" s="28"/>
      <c r="L65" s="44"/>
      <c r="M65" s="29"/>
      <c r="N65" s="44"/>
      <c r="V65" s="30"/>
    </row>
    <row r="66" spans="6:22" x14ac:dyDescent="0.2">
      <c r="F66" s="14" t="s">
        <v>24</v>
      </c>
      <c r="G66" s="15">
        <v>2.5</v>
      </c>
      <c r="H66" s="16" t="s">
        <v>16</v>
      </c>
      <c r="I66" s="164" t="s">
        <v>20</v>
      </c>
      <c r="J66" s="165"/>
      <c r="K66" s="165"/>
      <c r="L66" s="165"/>
      <c r="M66" s="165"/>
      <c r="N66" s="166"/>
      <c r="P66" s="164" t="s">
        <v>20</v>
      </c>
      <c r="Q66" s="165"/>
      <c r="R66" s="165"/>
      <c r="S66" s="165"/>
      <c r="T66" s="165"/>
      <c r="U66" s="166"/>
      <c r="V66" s="24"/>
    </row>
    <row r="67" spans="6:22" x14ac:dyDescent="0.2">
      <c r="F67" s="14" t="s">
        <v>24</v>
      </c>
      <c r="G67" s="15">
        <v>2.5</v>
      </c>
      <c r="H67" s="16" t="s">
        <v>17</v>
      </c>
      <c r="I67" s="167"/>
      <c r="J67" s="168"/>
      <c r="K67" s="168"/>
      <c r="L67" s="168"/>
      <c r="M67" s="168"/>
      <c r="N67" s="169"/>
      <c r="P67" s="167"/>
      <c r="Q67" s="168"/>
      <c r="R67" s="168"/>
      <c r="S67" s="168"/>
      <c r="T67" s="168"/>
      <c r="U67" s="169"/>
      <c r="V67" s="24"/>
    </row>
    <row r="68" spans="6:22" x14ac:dyDescent="0.2">
      <c r="F68" s="14" t="s">
        <v>24</v>
      </c>
      <c r="G68" s="15">
        <v>2.5</v>
      </c>
      <c r="H68" s="16" t="s">
        <v>18</v>
      </c>
      <c r="I68" s="167"/>
      <c r="J68" s="168"/>
      <c r="K68" s="168"/>
      <c r="L68" s="168"/>
      <c r="M68" s="168"/>
      <c r="N68" s="169"/>
      <c r="P68" s="167"/>
      <c r="Q68" s="168"/>
      <c r="R68" s="168"/>
      <c r="S68" s="168"/>
      <c r="T68" s="168"/>
      <c r="U68" s="169"/>
      <c r="V68" s="24"/>
    </row>
    <row r="69" spans="6:22" x14ac:dyDescent="0.2">
      <c r="F69" s="14" t="s">
        <v>24</v>
      </c>
      <c r="G69" s="15">
        <v>2.5</v>
      </c>
      <c r="H69" s="16" t="s">
        <v>19</v>
      </c>
      <c r="I69" s="170"/>
      <c r="J69" s="171"/>
      <c r="K69" s="171"/>
      <c r="L69" s="171"/>
      <c r="M69" s="171"/>
      <c r="N69" s="172"/>
      <c r="P69" s="170"/>
      <c r="Q69" s="171"/>
      <c r="R69" s="171"/>
      <c r="S69" s="171"/>
      <c r="T69" s="171"/>
      <c r="U69" s="172"/>
      <c r="V69" s="24"/>
    </row>
    <row r="70" spans="6:22" ht="6" customHeight="1" x14ac:dyDescent="0.2">
      <c r="F70" s="40"/>
      <c r="K70" s="45"/>
      <c r="L70" s="46"/>
      <c r="N70" s="46"/>
    </row>
    <row r="71" spans="6:22" ht="14.25" customHeight="1" x14ac:dyDescent="0.2">
      <c r="F71" s="14" t="s">
        <v>25</v>
      </c>
      <c r="G71" s="15">
        <v>1.5</v>
      </c>
      <c r="H71" s="16" t="s">
        <v>16</v>
      </c>
      <c r="I71" s="164" t="s">
        <v>20</v>
      </c>
      <c r="J71" s="165"/>
      <c r="K71" s="165"/>
      <c r="L71" s="165"/>
      <c r="M71" s="165"/>
      <c r="N71" s="166"/>
      <c r="P71" s="18">
        <f>'[1]Water_New OD160_H=1.5 m'!Z19</f>
        <v>178.21218247621562</v>
      </c>
      <c r="Q71" s="18">
        <f>'[1]Water_New OD160_H=1.5 m'!AM19</f>
        <v>262.07457516958118</v>
      </c>
      <c r="R71" s="19">
        <f>(Q71-P71)/Q71</f>
        <v>0.31999438571673938</v>
      </c>
      <c r="S71" s="20">
        <f>[1]WATER_Reinstatement!$C$20</f>
        <v>167.28633975934412</v>
      </c>
      <c r="T71" s="21">
        <v>1</v>
      </c>
      <c r="U71" s="20">
        <f>Q71+T71*1*S71</f>
        <v>429.3609149289253</v>
      </c>
      <c r="V71" s="182" t="s">
        <v>26</v>
      </c>
    </row>
    <row r="72" spans="6:22" ht="14.25" customHeight="1" x14ac:dyDescent="0.2">
      <c r="F72" s="14" t="s">
        <v>25</v>
      </c>
      <c r="G72" s="15">
        <v>1.5</v>
      </c>
      <c r="H72" s="16" t="s">
        <v>17</v>
      </c>
      <c r="I72" s="167"/>
      <c r="J72" s="168"/>
      <c r="K72" s="168"/>
      <c r="L72" s="168"/>
      <c r="M72" s="168"/>
      <c r="N72" s="169"/>
      <c r="P72" s="20">
        <f>P71</f>
        <v>178.21218247621562</v>
      </c>
      <c r="Q72" s="20">
        <f>Q71</f>
        <v>262.07457516958118</v>
      </c>
      <c r="R72" s="23">
        <f>R71</f>
        <v>0.31999438571673938</v>
      </c>
      <c r="S72" s="20">
        <f>[1]WATER_Reinstatement!$P$20</f>
        <v>164.01041731565468</v>
      </c>
      <c r="T72" s="21">
        <v>1</v>
      </c>
      <c r="U72" s="20">
        <f>Q72+T72*1*S72</f>
        <v>426.08499248523583</v>
      </c>
      <c r="V72" s="183"/>
    </row>
    <row r="73" spans="6:22" ht="14.25" customHeight="1" x14ac:dyDescent="0.2">
      <c r="F73" s="14" t="s">
        <v>25</v>
      </c>
      <c r="G73" s="15">
        <v>1.5</v>
      </c>
      <c r="H73" s="16" t="s">
        <v>18</v>
      </c>
      <c r="I73" s="167"/>
      <c r="J73" s="168"/>
      <c r="K73" s="168"/>
      <c r="L73" s="168"/>
      <c r="M73" s="168"/>
      <c r="N73" s="169"/>
      <c r="P73" s="20">
        <f>P71</f>
        <v>178.21218247621562</v>
      </c>
      <c r="Q73" s="20">
        <f>Q71</f>
        <v>262.07457516958118</v>
      </c>
      <c r="R73" s="23">
        <f>R71</f>
        <v>0.31999438571673938</v>
      </c>
      <c r="S73" s="20">
        <f>[1]WATER_Reinstatement!$AA$20</f>
        <v>82.936542797695623</v>
      </c>
      <c r="T73" s="21">
        <v>1</v>
      </c>
      <c r="U73" s="20">
        <f>Q73+T73*1*S73</f>
        <v>345.01111796727679</v>
      </c>
      <c r="V73" s="183"/>
    </row>
    <row r="74" spans="6:22" ht="14.25" customHeight="1" x14ac:dyDescent="0.2">
      <c r="F74" s="14" t="s">
        <v>25</v>
      </c>
      <c r="G74" s="15">
        <v>1.5</v>
      </c>
      <c r="H74" s="16" t="s">
        <v>19</v>
      </c>
      <c r="I74" s="170"/>
      <c r="J74" s="171"/>
      <c r="K74" s="171"/>
      <c r="L74" s="171"/>
      <c r="M74" s="171"/>
      <c r="N74" s="172"/>
      <c r="P74" s="20">
        <f>P71</f>
        <v>178.21218247621562</v>
      </c>
      <c r="Q74" s="20">
        <f>Q71</f>
        <v>262.07457516958118</v>
      </c>
      <c r="R74" s="23">
        <f>R71</f>
        <v>0.31999438571673938</v>
      </c>
      <c r="S74" s="20">
        <f>[1]WATER_Reinstatement!$AL$20</f>
        <v>34.229193013075353</v>
      </c>
      <c r="T74" s="21">
        <v>1</v>
      </c>
      <c r="U74" s="20">
        <f>Q74+T74*1*S74</f>
        <v>296.30376818265654</v>
      </c>
      <c r="V74" s="184"/>
    </row>
    <row r="75" spans="6:22" ht="6" customHeight="1" x14ac:dyDescent="0.2">
      <c r="F75" s="25"/>
      <c r="G75" s="26"/>
      <c r="H75" s="27"/>
      <c r="I75" s="44"/>
      <c r="J75" s="48"/>
      <c r="K75" s="28"/>
      <c r="L75" s="44"/>
      <c r="M75" s="29"/>
      <c r="N75" s="44"/>
      <c r="V75" s="30"/>
    </row>
    <row r="76" spans="6:22" ht="14.25" customHeight="1" x14ac:dyDescent="0.2">
      <c r="F76" s="14" t="s">
        <v>25</v>
      </c>
      <c r="G76" s="15">
        <v>2</v>
      </c>
      <c r="H76" s="16" t="s">
        <v>16</v>
      </c>
      <c r="I76" s="18">
        <f>'[1]Water_New OD160_H=2.0 m'!Z18</f>
        <v>193.71577276000326</v>
      </c>
      <c r="J76" s="18">
        <f>'[1]Water_New OD160_H=2.0 m'!AN18</f>
        <v>273.28103809292406</v>
      </c>
      <c r="K76" s="19">
        <f>(J76-I76)/J76</f>
        <v>0.29114813778578424</v>
      </c>
      <c r="L76" s="20">
        <f>[1]WATER_Reinstatement!$C$20</f>
        <v>167.28633975934412</v>
      </c>
      <c r="M76" s="21">
        <v>1</v>
      </c>
      <c r="N76" s="20">
        <f>J76+M76*1*L76</f>
        <v>440.56737785226818</v>
      </c>
      <c r="P76" s="164" t="s">
        <v>20</v>
      </c>
      <c r="Q76" s="165"/>
      <c r="R76" s="165"/>
      <c r="S76" s="165"/>
      <c r="T76" s="165"/>
      <c r="U76" s="166"/>
      <c r="V76" s="177" t="s">
        <v>27</v>
      </c>
    </row>
    <row r="77" spans="6:22" x14ac:dyDescent="0.2">
      <c r="F77" s="14" t="s">
        <v>25</v>
      </c>
      <c r="G77" s="15">
        <v>2</v>
      </c>
      <c r="H77" s="16" t="s">
        <v>17</v>
      </c>
      <c r="I77" s="20">
        <f>I76</f>
        <v>193.71577276000326</v>
      </c>
      <c r="J77" s="20">
        <f>J76</f>
        <v>273.28103809292406</v>
      </c>
      <c r="K77" s="23">
        <f>K76</f>
        <v>0.29114813778578424</v>
      </c>
      <c r="L77" s="20">
        <f>[1]WATER_Reinstatement!$P$20</f>
        <v>164.01041731565468</v>
      </c>
      <c r="M77" s="21">
        <v>1</v>
      </c>
      <c r="N77" s="20">
        <f>J77+M77*1*L77</f>
        <v>437.29145540857871</v>
      </c>
      <c r="P77" s="167"/>
      <c r="Q77" s="168"/>
      <c r="R77" s="168"/>
      <c r="S77" s="168"/>
      <c r="T77" s="168"/>
      <c r="U77" s="169"/>
      <c r="V77" s="178"/>
    </row>
    <row r="78" spans="6:22" x14ac:dyDescent="0.2">
      <c r="F78" s="14" t="s">
        <v>25</v>
      </c>
      <c r="G78" s="15">
        <v>2</v>
      </c>
      <c r="H78" s="16" t="s">
        <v>18</v>
      </c>
      <c r="I78" s="20">
        <f>I76</f>
        <v>193.71577276000326</v>
      </c>
      <c r="J78" s="20">
        <f>J76</f>
        <v>273.28103809292406</v>
      </c>
      <c r="K78" s="23">
        <f>K76</f>
        <v>0.29114813778578424</v>
      </c>
      <c r="L78" s="20">
        <f>[1]WATER_Reinstatement!$AA$20</f>
        <v>82.936542797695623</v>
      </c>
      <c r="M78" s="21">
        <v>1</v>
      </c>
      <c r="N78" s="20">
        <f>J78+M78*1*L78</f>
        <v>356.21758089061967</v>
      </c>
      <c r="P78" s="167"/>
      <c r="Q78" s="168"/>
      <c r="R78" s="168"/>
      <c r="S78" s="168"/>
      <c r="T78" s="168"/>
      <c r="U78" s="169"/>
      <c r="V78" s="178"/>
    </row>
    <row r="79" spans="6:22" x14ac:dyDescent="0.2">
      <c r="F79" s="14" t="s">
        <v>25</v>
      </c>
      <c r="G79" s="15">
        <v>2</v>
      </c>
      <c r="H79" s="16" t="s">
        <v>19</v>
      </c>
      <c r="I79" s="20">
        <f>I76</f>
        <v>193.71577276000326</v>
      </c>
      <c r="J79" s="20">
        <f>J76</f>
        <v>273.28103809292406</v>
      </c>
      <c r="K79" s="23">
        <f>K76</f>
        <v>0.29114813778578424</v>
      </c>
      <c r="L79" s="20">
        <f>[1]WATER_Reinstatement!$AL$20</f>
        <v>34.229193013075353</v>
      </c>
      <c r="M79" s="21">
        <v>1</v>
      </c>
      <c r="N79" s="20">
        <f>J79+M79*1*L79</f>
        <v>307.51023110599942</v>
      </c>
      <c r="P79" s="170"/>
      <c r="Q79" s="171"/>
      <c r="R79" s="171"/>
      <c r="S79" s="171"/>
      <c r="T79" s="171"/>
      <c r="U79" s="172"/>
      <c r="V79" s="179"/>
    </row>
    <row r="80" spans="6:22" ht="6" customHeight="1" x14ac:dyDescent="0.2">
      <c r="F80" s="25"/>
      <c r="G80" s="26"/>
      <c r="H80" s="27"/>
      <c r="I80" s="44"/>
      <c r="J80" s="48"/>
      <c r="K80" s="28"/>
      <c r="L80" s="44"/>
      <c r="M80" s="29"/>
      <c r="N80" s="44"/>
      <c r="V80" s="30"/>
    </row>
    <row r="81" spans="6:22" ht="14.25" customHeight="1" x14ac:dyDescent="0.2">
      <c r="F81" s="14" t="s">
        <v>25</v>
      </c>
      <c r="G81" s="15">
        <v>2.5</v>
      </c>
      <c r="H81" s="16" t="s">
        <v>16</v>
      </c>
      <c r="I81" s="164" t="s">
        <v>20</v>
      </c>
      <c r="J81" s="165"/>
      <c r="K81" s="165"/>
      <c r="L81" s="165"/>
      <c r="M81" s="165"/>
      <c r="N81" s="166"/>
      <c r="P81" s="18">
        <f>'[1]Water_New OD160_H=2.5 m'!Z18</f>
        <v>162.55578004698563</v>
      </c>
      <c r="Q81" s="18">
        <f>'[1]Water_New OD160_H=2.5 m'!AO18</f>
        <v>221.78473849350098</v>
      </c>
      <c r="R81" s="19">
        <f>(Q81-P81)/Q81</f>
        <v>0.26705606007354266</v>
      </c>
      <c r="S81" s="20">
        <f>[1]WATER_Reinstatement!$C$20</f>
        <v>167.28633975934412</v>
      </c>
      <c r="T81" s="21">
        <v>1</v>
      </c>
      <c r="U81" s="20">
        <f>Q81+T81*1*S81</f>
        <v>389.0710782528451</v>
      </c>
      <c r="V81" s="182"/>
    </row>
    <row r="82" spans="6:22" ht="14.25" customHeight="1" x14ac:dyDescent="0.2">
      <c r="F82" s="14" t="s">
        <v>25</v>
      </c>
      <c r="G82" s="15">
        <v>2.5</v>
      </c>
      <c r="H82" s="16" t="s">
        <v>17</v>
      </c>
      <c r="I82" s="167"/>
      <c r="J82" s="168"/>
      <c r="K82" s="168"/>
      <c r="L82" s="168"/>
      <c r="M82" s="168"/>
      <c r="N82" s="169"/>
      <c r="P82" s="20">
        <f>P81</f>
        <v>162.55578004698563</v>
      </c>
      <c r="Q82" s="20">
        <f>Q81</f>
        <v>221.78473849350098</v>
      </c>
      <c r="R82" s="23">
        <f>R81</f>
        <v>0.26705606007354266</v>
      </c>
      <c r="S82" s="20">
        <f>[1]WATER_Reinstatement!$P$20</f>
        <v>164.01041731565468</v>
      </c>
      <c r="T82" s="21">
        <v>1</v>
      </c>
      <c r="U82" s="20">
        <f>Q82+T82*1*S82</f>
        <v>385.79515580915563</v>
      </c>
      <c r="V82" s="183"/>
    </row>
    <row r="83" spans="6:22" ht="14.25" customHeight="1" x14ac:dyDescent="0.2">
      <c r="F83" s="14" t="s">
        <v>25</v>
      </c>
      <c r="G83" s="15">
        <v>2.5</v>
      </c>
      <c r="H83" s="16" t="s">
        <v>18</v>
      </c>
      <c r="I83" s="167"/>
      <c r="J83" s="168"/>
      <c r="K83" s="168"/>
      <c r="L83" s="168"/>
      <c r="M83" s="168"/>
      <c r="N83" s="169"/>
      <c r="P83" s="20">
        <f>P81</f>
        <v>162.55578004698563</v>
      </c>
      <c r="Q83" s="20">
        <f>Q81</f>
        <v>221.78473849350098</v>
      </c>
      <c r="R83" s="23">
        <f>R81</f>
        <v>0.26705606007354266</v>
      </c>
      <c r="S83" s="20">
        <f>[1]WATER_Reinstatement!$AA$20</f>
        <v>82.936542797695623</v>
      </c>
      <c r="T83" s="21">
        <v>1</v>
      </c>
      <c r="U83" s="20">
        <f>Q83+T83*1*S83</f>
        <v>304.72128129119659</v>
      </c>
      <c r="V83" s="183"/>
    </row>
    <row r="84" spans="6:22" ht="14.25" customHeight="1" x14ac:dyDescent="0.2">
      <c r="F84" s="14" t="s">
        <v>25</v>
      </c>
      <c r="G84" s="15">
        <v>2.5</v>
      </c>
      <c r="H84" s="16" t="s">
        <v>19</v>
      </c>
      <c r="I84" s="170"/>
      <c r="J84" s="171"/>
      <c r="K84" s="171"/>
      <c r="L84" s="171"/>
      <c r="M84" s="171"/>
      <c r="N84" s="172"/>
      <c r="P84" s="20">
        <f>P81</f>
        <v>162.55578004698563</v>
      </c>
      <c r="Q84" s="20">
        <f>Q81</f>
        <v>221.78473849350098</v>
      </c>
      <c r="R84" s="23">
        <f>R81</f>
        <v>0.26705606007354266</v>
      </c>
      <c r="S84" s="20">
        <f>[1]WATER_Reinstatement!$AL$20</f>
        <v>34.229193013075353</v>
      </c>
      <c r="T84" s="21">
        <v>1</v>
      </c>
      <c r="U84" s="20">
        <f>Q84+T84*1*S84</f>
        <v>256.01393150657634</v>
      </c>
      <c r="V84" s="184"/>
    </row>
    <row r="85" spans="6:22" ht="6" customHeight="1" x14ac:dyDescent="0.2">
      <c r="F85" s="40"/>
      <c r="I85" s="46"/>
      <c r="K85" s="45"/>
      <c r="L85" s="46"/>
      <c r="N85" s="46"/>
    </row>
    <row r="86" spans="6:22" ht="14.25" customHeight="1" x14ac:dyDescent="0.2">
      <c r="F86" s="14" t="s">
        <v>28</v>
      </c>
      <c r="G86" s="15">
        <v>1.5</v>
      </c>
      <c r="H86" s="16" t="s">
        <v>16</v>
      </c>
      <c r="I86" s="164" t="s">
        <v>20</v>
      </c>
      <c r="J86" s="165"/>
      <c r="K86" s="165"/>
      <c r="L86" s="165"/>
      <c r="M86" s="165"/>
      <c r="N86" s="166"/>
      <c r="P86" s="18">
        <f>'[1]Water_New OD200_H=1.5 m'!AA19</f>
        <v>203.81410182518758</v>
      </c>
      <c r="Q86" s="18">
        <f>'[1]Water_New OD200_H=1.5 m'!AM18</f>
        <v>248.97200994815225</v>
      </c>
      <c r="R86" s="19">
        <f>(Q86-P86)/Q86</f>
        <v>0.18137744934608788</v>
      </c>
      <c r="S86" s="20">
        <f>[1]WATER_Reinstatement!$C$20</f>
        <v>167.28633975934412</v>
      </c>
      <c r="T86" s="21">
        <v>1</v>
      </c>
      <c r="U86" s="20">
        <f>Q86+T86*1*S86</f>
        <v>416.25834970749634</v>
      </c>
      <c r="V86" s="182"/>
    </row>
    <row r="87" spans="6:22" ht="14.25" customHeight="1" x14ac:dyDescent="0.2">
      <c r="F87" s="14" t="s">
        <v>28</v>
      </c>
      <c r="G87" s="15">
        <v>1.5</v>
      </c>
      <c r="H87" s="16" t="s">
        <v>17</v>
      </c>
      <c r="I87" s="167"/>
      <c r="J87" s="168"/>
      <c r="K87" s="168"/>
      <c r="L87" s="168"/>
      <c r="M87" s="168"/>
      <c r="N87" s="169"/>
      <c r="P87" s="20">
        <f>P86</f>
        <v>203.81410182518758</v>
      </c>
      <c r="Q87" s="20">
        <f>Q86</f>
        <v>248.97200994815225</v>
      </c>
      <c r="R87" s="23">
        <f>R86</f>
        <v>0.18137744934608788</v>
      </c>
      <c r="S87" s="20">
        <f>[1]WATER_Reinstatement!$P$20</f>
        <v>164.01041731565468</v>
      </c>
      <c r="T87" s="21">
        <v>1</v>
      </c>
      <c r="U87" s="20">
        <f>Q87+T87*1*S87</f>
        <v>412.98242726380693</v>
      </c>
      <c r="V87" s="183"/>
    </row>
    <row r="88" spans="6:22" ht="14.25" customHeight="1" x14ac:dyDescent="0.2">
      <c r="F88" s="14" t="s">
        <v>28</v>
      </c>
      <c r="G88" s="15">
        <v>1.5</v>
      </c>
      <c r="H88" s="16" t="s">
        <v>18</v>
      </c>
      <c r="I88" s="167"/>
      <c r="J88" s="168"/>
      <c r="K88" s="168"/>
      <c r="L88" s="168"/>
      <c r="M88" s="168"/>
      <c r="N88" s="169"/>
      <c r="P88" s="20">
        <f>P86</f>
        <v>203.81410182518758</v>
      </c>
      <c r="Q88" s="20">
        <f>Q86</f>
        <v>248.97200994815225</v>
      </c>
      <c r="R88" s="23">
        <f>R86</f>
        <v>0.18137744934608788</v>
      </c>
      <c r="S88" s="20">
        <f>[1]WATER_Reinstatement!$AA$20</f>
        <v>82.936542797695623</v>
      </c>
      <c r="T88" s="21">
        <v>1</v>
      </c>
      <c r="U88" s="20">
        <f>Q88+T88*1*S88</f>
        <v>331.90855274584789</v>
      </c>
      <c r="V88" s="183"/>
    </row>
    <row r="89" spans="6:22" ht="14.25" customHeight="1" x14ac:dyDescent="0.2">
      <c r="F89" s="14" t="s">
        <v>28</v>
      </c>
      <c r="G89" s="15">
        <v>1.5</v>
      </c>
      <c r="H89" s="16" t="s">
        <v>19</v>
      </c>
      <c r="I89" s="170"/>
      <c r="J89" s="171"/>
      <c r="K89" s="171"/>
      <c r="L89" s="171"/>
      <c r="M89" s="171"/>
      <c r="N89" s="172"/>
      <c r="P89" s="20">
        <f>P86</f>
        <v>203.81410182518758</v>
      </c>
      <c r="Q89" s="20">
        <f>Q86</f>
        <v>248.97200994815225</v>
      </c>
      <c r="R89" s="23">
        <f>R86</f>
        <v>0.18137744934608788</v>
      </c>
      <c r="S89" s="20">
        <f>[1]WATER_Reinstatement!$AL$20</f>
        <v>34.229193013075353</v>
      </c>
      <c r="T89" s="21">
        <v>1</v>
      </c>
      <c r="U89" s="20">
        <f>Q89+T89*1*S89</f>
        <v>283.20120296122758</v>
      </c>
      <c r="V89" s="184"/>
    </row>
    <row r="90" spans="6:22" ht="6" customHeight="1" x14ac:dyDescent="0.2">
      <c r="F90" s="25"/>
      <c r="G90" s="26"/>
      <c r="H90" s="27"/>
      <c r="I90" s="44"/>
      <c r="J90" s="27"/>
      <c r="K90" s="28"/>
      <c r="L90" s="44"/>
      <c r="M90" s="29"/>
      <c r="N90" s="44"/>
      <c r="V90" s="30"/>
    </row>
    <row r="91" spans="6:22" ht="14.25" customHeight="1" x14ac:dyDescent="0.2">
      <c r="F91" s="14" t="s">
        <v>28</v>
      </c>
      <c r="G91" s="15">
        <v>2</v>
      </c>
      <c r="H91" s="16" t="s">
        <v>16</v>
      </c>
      <c r="I91" s="164" t="s">
        <v>20</v>
      </c>
      <c r="J91" s="165"/>
      <c r="K91" s="165"/>
      <c r="L91" s="165"/>
      <c r="M91" s="165"/>
      <c r="N91" s="166"/>
      <c r="P91" s="18">
        <f>'[1]Water_New OD200_H=2.0 m'!Z18</f>
        <v>213.9367459340333</v>
      </c>
      <c r="Q91" s="18">
        <f>'[1]Water_New OD200_H=2.0 m'!AM18</f>
        <v>268.42545871191044</v>
      </c>
      <c r="R91" s="19">
        <f>(Q91-P91)/Q91</f>
        <v>0.20299383314589972</v>
      </c>
      <c r="S91" s="20">
        <f>[1]WATER_Reinstatement!$C$20</f>
        <v>167.28633975934412</v>
      </c>
      <c r="T91" s="21">
        <v>1</v>
      </c>
      <c r="U91" s="20">
        <f>Q91+T91*1*S91</f>
        <v>435.71179847125455</v>
      </c>
      <c r="V91" s="182"/>
    </row>
    <row r="92" spans="6:22" ht="14.25" customHeight="1" x14ac:dyDescent="0.2">
      <c r="F92" s="14" t="s">
        <v>28</v>
      </c>
      <c r="G92" s="15">
        <v>2</v>
      </c>
      <c r="H92" s="16" t="s">
        <v>17</v>
      </c>
      <c r="I92" s="167"/>
      <c r="J92" s="168"/>
      <c r="K92" s="168"/>
      <c r="L92" s="168"/>
      <c r="M92" s="168"/>
      <c r="N92" s="169"/>
      <c r="P92" s="20">
        <f>P91</f>
        <v>213.9367459340333</v>
      </c>
      <c r="Q92" s="20">
        <f>Q91</f>
        <v>268.42545871191044</v>
      </c>
      <c r="R92" s="23">
        <f>R91</f>
        <v>0.20299383314589972</v>
      </c>
      <c r="S92" s="20">
        <f>[1]WATER_Reinstatement!$P$20</f>
        <v>164.01041731565468</v>
      </c>
      <c r="T92" s="21">
        <v>1</v>
      </c>
      <c r="U92" s="20">
        <f>Q92+T92*1*S92</f>
        <v>432.43587602756509</v>
      </c>
      <c r="V92" s="183"/>
    </row>
    <row r="93" spans="6:22" ht="14.25" customHeight="1" x14ac:dyDescent="0.2">
      <c r="F93" s="14" t="s">
        <v>28</v>
      </c>
      <c r="G93" s="15">
        <v>2</v>
      </c>
      <c r="H93" s="16" t="s">
        <v>18</v>
      </c>
      <c r="I93" s="167"/>
      <c r="J93" s="168"/>
      <c r="K93" s="168"/>
      <c r="L93" s="168"/>
      <c r="M93" s="168"/>
      <c r="N93" s="169"/>
      <c r="P93" s="20">
        <f>P91</f>
        <v>213.9367459340333</v>
      </c>
      <c r="Q93" s="20">
        <f>Q91</f>
        <v>268.42545871191044</v>
      </c>
      <c r="R93" s="23">
        <f>R91</f>
        <v>0.20299383314589972</v>
      </c>
      <c r="S93" s="20">
        <f>[1]WATER_Reinstatement!$AA$20</f>
        <v>82.936542797695623</v>
      </c>
      <c r="T93" s="21">
        <v>1</v>
      </c>
      <c r="U93" s="20">
        <f>Q93+T93*1*S93</f>
        <v>351.36200150960605</v>
      </c>
      <c r="V93" s="183"/>
    </row>
    <row r="94" spans="6:22" ht="14.25" customHeight="1" x14ac:dyDescent="0.2">
      <c r="F94" s="14" t="s">
        <v>28</v>
      </c>
      <c r="G94" s="15">
        <v>2</v>
      </c>
      <c r="H94" s="16" t="s">
        <v>19</v>
      </c>
      <c r="I94" s="170"/>
      <c r="J94" s="171"/>
      <c r="K94" s="171"/>
      <c r="L94" s="171"/>
      <c r="M94" s="171"/>
      <c r="N94" s="172"/>
      <c r="P94" s="20">
        <f>P91</f>
        <v>213.9367459340333</v>
      </c>
      <c r="Q94" s="20">
        <f>Q91</f>
        <v>268.42545871191044</v>
      </c>
      <c r="R94" s="23">
        <f>R91</f>
        <v>0.20299383314589972</v>
      </c>
      <c r="S94" s="20">
        <f>[1]WATER_Reinstatement!$AL$20</f>
        <v>34.229193013075353</v>
      </c>
      <c r="T94" s="21">
        <v>1</v>
      </c>
      <c r="U94" s="20">
        <f>Q94+T94*1*S94</f>
        <v>302.6546517249858</v>
      </c>
      <c r="V94" s="184"/>
    </row>
    <row r="95" spans="6:22" ht="6" customHeight="1" x14ac:dyDescent="0.2">
      <c r="F95" s="25"/>
      <c r="G95" s="26"/>
      <c r="H95" s="27"/>
      <c r="I95" s="44"/>
      <c r="J95" s="27"/>
      <c r="K95" s="28"/>
      <c r="L95" s="44"/>
      <c r="M95" s="29"/>
      <c r="N95" s="44"/>
      <c r="V95" s="30"/>
    </row>
    <row r="96" spans="6:22" ht="14.25" customHeight="1" x14ac:dyDescent="0.2">
      <c r="F96" s="14" t="s">
        <v>28</v>
      </c>
      <c r="G96" s="15">
        <v>2.5</v>
      </c>
      <c r="H96" s="16" t="s">
        <v>16</v>
      </c>
      <c r="I96" s="164" t="s">
        <v>20</v>
      </c>
      <c r="J96" s="165"/>
      <c r="K96" s="165"/>
      <c r="L96" s="165"/>
      <c r="M96" s="165"/>
      <c r="N96" s="166"/>
      <c r="P96" s="18">
        <f>'[1]Water_New OD200_H=2.5 m'!Z18</f>
        <v>228.83761334626683</v>
      </c>
      <c r="Q96" s="18">
        <f>'[1]Water_New OD200_H=2.5 m'!AL18</f>
        <v>264.87254818572956</v>
      </c>
      <c r="R96" s="19">
        <f>(Q96-P96)/Q96</f>
        <v>0.13604631769614306</v>
      </c>
      <c r="S96" s="20">
        <f>[1]WATER_Reinstatement!$C$20</f>
        <v>167.28633975934412</v>
      </c>
      <c r="T96" s="21">
        <v>1</v>
      </c>
      <c r="U96" s="20">
        <f>Q96+T96*1*S96</f>
        <v>432.15888794507367</v>
      </c>
      <c r="V96" s="182"/>
    </row>
    <row r="97" spans="6:22" ht="14.25" customHeight="1" x14ac:dyDescent="0.2">
      <c r="F97" s="14" t="s">
        <v>28</v>
      </c>
      <c r="G97" s="15">
        <v>2.5</v>
      </c>
      <c r="H97" s="16" t="s">
        <v>17</v>
      </c>
      <c r="I97" s="167"/>
      <c r="J97" s="168"/>
      <c r="K97" s="168"/>
      <c r="L97" s="168"/>
      <c r="M97" s="168"/>
      <c r="N97" s="169"/>
      <c r="P97" s="20">
        <f>P96</f>
        <v>228.83761334626683</v>
      </c>
      <c r="Q97" s="20">
        <f>Q96</f>
        <v>264.87254818572956</v>
      </c>
      <c r="R97" s="23">
        <f>R96</f>
        <v>0.13604631769614306</v>
      </c>
      <c r="S97" s="20">
        <f>[1]WATER_Reinstatement!$P$20</f>
        <v>164.01041731565468</v>
      </c>
      <c r="T97" s="21">
        <v>1</v>
      </c>
      <c r="U97" s="20">
        <f>Q97+T97*1*S97</f>
        <v>428.88296550138421</v>
      </c>
      <c r="V97" s="183"/>
    </row>
    <row r="98" spans="6:22" ht="14.25" customHeight="1" x14ac:dyDescent="0.2">
      <c r="F98" s="14" t="s">
        <v>28</v>
      </c>
      <c r="G98" s="15">
        <v>2.5</v>
      </c>
      <c r="H98" s="16" t="s">
        <v>18</v>
      </c>
      <c r="I98" s="167"/>
      <c r="J98" s="168"/>
      <c r="K98" s="168"/>
      <c r="L98" s="168"/>
      <c r="M98" s="168"/>
      <c r="N98" s="169"/>
      <c r="P98" s="20">
        <f>P96</f>
        <v>228.83761334626683</v>
      </c>
      <c r="Q98" s="20">
        <f>Q96</f>
        <v>264.87254818572956</v>
      </c>
      <c r="R98" s="23">
        <f>R96</f>
        <v>0.13604631769614306</v>
      </c>
      <c r="S98" s="20">
        <f>[1]WATER_Reinstatement!$AA$20</f>
        <v>82.936542797695623</v>
      </c>
      <c r="T98" s="21">
        <v>1</v>
      </c>
      <c r="U98" s="20">
        <f>Q98+T98*1*S98</f>
        <v>347.80909098342516</v>
      </c>
      <c r="V98" s="183"/>
    </row>
    <row r="99" spans="6:22" ht="14.25" customHeight="1" x14ac:dyDescent="0.2">
      <c r="F99" s="14" t="s">
        <v>28</v>
      </c>
      <c r="G99" s="15">
        <v>2.5</v>
      </c>
      <c r="H99" s="16" t="s">
        <v>19</v>
      </c>
      <c r="I99" s="170"/>
      <c r="J99" s="171"/>
      <c r="K99" s="171"/>
      <c r="L99" s="171"/>
      <c r="M99" s="171"/>
      <c r="N99" s="172"/>
      <c r="P99" s="20">
        <f>P96</f>
        <v>228.83761334626683</v>
      </c>
      <c r="Q99" s="20">
        <f>Q96</f>
        <v>264.87254818572956</v>
      </c>
      <c r="R99" s="23">
        <f>R96</f>
        <v>0.13604631769614306</v>
      </c>
      <c r="S99" s="20">
        <f>[1]WATER_Reinstatement!$AL$20</f>
        <v>34.229193013075353</v>
      </c>
      <c r="T99" s="21">
        <v>1</v>
      </c>
      <c r="U99" s="20">
        <f>Q99+T99*1*S99</f>
        <v>299.10174119880492</v>
      </c>
      <c r="V99" s="184"/>
    </row>
    <row r="100" spans="6:22" x14ac:dyDescent="0.2">
      <c r="K100" s="49"/>
      <c r="L100" s="46"/>
      <c r="N100" s="46"/>
    </row>
    <row r="101" spans="6:22" x14ac:dyDescent="0.2">
      <c r="K101" s="49"/>
      <c r="N101" s="46"/>
    </row>
    <row r="102" spans="6:22" x14ac:dyDescent="0.2">
      <c r="K102" s="49"/>
      <c r="N102" s="46"/>
    </row>
    <row r="103" spans="6:22" x14ac:dyDescent="0.2">
      <c r="K103" s="49"/>
    </row>
    <row r="104" spans="6:22" x14ac:dyDescent="0.2">
      <c r="K104" s="49"/>
    </row>
    <row r="105" spans="6:22" x14ac:dyDescent="0.2">
      <c r="K105" s="49"/>
    </row>
    <row r="106" spans="6:22" x14ac:dyDescent="0.2">
      <c r="K106" s="49"/>
    </row>
    <row r="107" spans="6:22" x14ac:dyDescent="0.2">
      <c r="K107" s="49"/>
    </row>
    <row r="108" spans="6:22" x14ac:dyDescent="0.2">
      <c r="K108" s="49"/>
    </row>
    <row r="109" spans="6:22" x14ac:dyDescent="0.2">
      <c r="K109" s="49"/>
    </row>
    <row r="110" spans="6:22" x14ac:dyDescent="0.2">
      <c r="K110" s="49"/>
    </row>
    <row r="111" spans="6:22" x14ac:dyDescent="0.2">
      <c r="K111" s="49"/>
    </row>
    <row r="112" spans="6:22" x14ac:dyDescent="0.2">
      <c r="K112" s="49"/>
    </row>
    <row r="113" spans="11:11" x14ac:dyDescent="0.2">
      <c r="K113" s="49"/>
    </row>
    <row r="114" spans="11:11" x14ac:dyDescent="0.2">
      <c r="K114" s="49"/>
    </row>
    <row r="115" spans="11:11" x14ac:dyDescent="0.2">
      <c r="K115" s="49"/>
    </row>
    <row r="116" spans="11:11" x14ac:dyDescent="0.2">
      <c r="K116" s="49"/>
    </row>
    <row r="117" spans="11:11" x14ac:dyDescent="0.2">
      <c r="K117" s="49"/>
    </row>
    <row r="118" spans="11:11" x14ac:dyDescent="0.2">
      <c r="K118" s="49"/>
    </row>
    <row r="119" spans="11:11" x14ac:dyDescent="0.2">
      <c r="K119" s="49"/>
    </row>
    <row r="120" spans="11:11" x14ac:dyDescent="0.2">
      <c r="K120" s="49"/>
    </row>
    <row r="121" spans="11:11" x14ac:dyDescent="0.2">
      <c r="K121" s="49"/>
    </row>
    <row r="122" spans="11:11" x14ac:dyDescent="0.2">
      <c r="K122" s="49"/>
    </row>
    <row r="123" spans="11:11" x14ac:dyDescent="0.2">
      <c r="K123" s="49"/>
    </row>
    <row r="124" spans="11:11" x14ac:dyDescent="0.2">
      <c r="K124" s="49"/>
    </row>
    <row r="125" spans="11:11" x14ac:dyDescent="0.2">
      <c r="K125" s="49"/>
    </row>
    <row r="126" spans="11:11" x14ac:dyDescent="0.2">
      <c r="K126" s="49"/>
    </row>
    <row r="127" spans="11:11" x14ac:dyDescent="0.2">
      <c r="K127" s="49"/>
    </row>
    <row r="128" spans="11:11" x14ac:dyDescent="0.2">
      <c r="K128" s="49"/>
    </row>
    <row r="129" spans="11:11" x14ac:dyDescent="0.2">
      <c r="K129" s="49"/>
    </row>
    <row r="130" spans="11:11" x14ac:dyDescent="0.2">
      <c r="K130" s="49"/>
    </row>
    <row r="131" spans="11:11" x14ac:dyDescent="0.2">
      <c r="K131" s="49"/>
    </row>
    <row r="132" spans="11:11" x14ac:dyDescent="0.2">
      <c r="K132" s="49"/>
    </row>
    <row r="133" spans="11:11" x14ac:dyDescent="0.2">
      <c r="K133" s="49"/>
    </row>
    <row r="134" spans="11:11" x14ac:dyDescent="0.2">
      <c r="K134" s="49"/>
    </row>
    <row r="135" spans="11:11" x14ac:dyDescent="0.2">
      <c r="K135" s="49"/>
    </row>
  </sheetData>
  <mergeCells count="37">
    <mergeCell ref="I86:N89"/>
    <mergeCell ref="V86:V89"/>
    <mergeCell ref="I91:N94"/>
    <mergeCell ref="V91:V94"/>
    <mergeCell ref="I96:N99"/>
    <mergeCell ref="V96:V99"/>
    <mergeCell ref="I71:N74"/>
    <mergeCell ref="V71:V74"/>
    <mergeCell ref="P76:U79"/>
    <mergeCell ref="V76:V79"/>
    <mergeCell ref="I81:N84"/>
    <mergeCell ref="V81:V84"/>
    <mergeCell ref="I56:N59"/>
    <mergeCell ref="P56:U59"/>
    <mergeCell ref="I61:N64"/>
    <mergeCell ref="P61:U64"/>
    <mergeCell ref="I66:N69"/>
    <mergeCell ref="P66:U69"/>
    <mergeCell ref="V51:V54"/>
    <mergeCell ref="I25:N25"/>
    <mergeCell ref="P25:U25"/>
    <mergeCell ref="I30:N30"/>
    <mergeCell ref="P30:U30"/>
    <mergeCell ref="I36:N39"/>
    <mergeCell ref="P36:U39"/>
    <mergeCell ref="I40:N40"/>
    <mergeCell ref="P40:U40"/>
    <mergeCell ref="I45:N45"/>
    <mergeCell ref="P45:U45"/>
    <mergeCell ref="P51:U54"/>
    <mergeCell ref="I21:N24"/>
    <mergeCell ref="P21:U24"/>
    <mergeCell ref="F4:H8"/>
    <mergeCell ref="N6:P7"/>
    <mergeCell ref="I9:N9"/>
    <mergeCell ref="P9:U9"/>
    <mergeCell ref="I16:N19"/>
  </mergeCells>
  <pageMargins left="0.7" right="0.7" top="0.75" bottom="0.75" header="0.3" footer="0.3"/>
  <pageSetup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E1:V132"/>
  <sheetViews>
    <sheetView zoomScale="69" zoomScaleNormal="69" workbookViewId="0">
      <selection activeCell="C14" sqref="C14"/>
    </sheetView>
  </sheetViews>
  <sheetFormatPr baseColWidth="10" defaultColWidth="8.83203125" defaultRowHeight="15" x14ac:dyDescent="0.2"/>
  <cols>
    <col min="6" max="6" width="10.5" customWidth="1"/>
    <col min="7" max="7" width="7.1640625" style="50" customWidth="1"/>
    <col min="8" max="8" width="12.33203125" customWidth="1"/>
    <col min="9" max="9" width="7.83203125" bestFit="1" customWidth="1"/>
    <col min="10" max="10" width="10.6640625" customWidth="1"/>
    <col min="11" max="11" width="8.6640625" customWidth="1"/>
    <col min="12" max="12" width="9" bestFit="1" customWidth="1"/>
    <col min="13" max="13" width="8.5" style="47" customWidth="1"/>
    <col min="14" max="14" width="10" customWidth="1"/>
    <col min="15" max="15" width="1.6640625" customWidth="1"/>
    <col min="16" max="16" width="9.5" style="47" customWidth="1"/>
    <col min="17" max="17" width="9.6640625" style="47" customWidth="1"/>
    <col min="20" max="20" width="8.33203125" customWidth="1"/>
    <col min="22" max="22" width="18.33203125" customWidth="1"/>
  </cols>
  <sheetData>
    <row r="1" spans="5:22" x14ac:dyDescent="0.2">
      <c r="E1" s="2"/>
      <c r="F1" s="173" t="s">
        <v>0</v>
      </c>
      <c r="G1" s="173"/>
      <c r="H1" s="173"/>
      <c r="I1" s="4"/>
      <c r="J1" s="4"/>
      <c r="K1" s="4"/>
      <c r="L1" s="4"/>
      <c r="M1" s="5"/>
      <c r="N1" s="4"/>
      <c r="O1" s="6"/>
      <c r="P1" s="8"/>
      <c r="Q1" s="8"/>
      <c r="R1" s="6"/>
      <c r="S1" s="6"/>
      <c r="T1" s="6"/>
      <c r="U1" s="6"/>
      <c r="V1" s="7"/>
    </row>
    <row r="2" spans="5:22" x14ac:dyDescent="0.2">
      <c r="E2" s="2"/>
      <c r="F2" s="173"/>
      <c r="G2" s="173"/>
      <c r="H2" s="173"/>
      <c r="I2" s="4"/>
      <c r="J2" s="4"/>
      <c r="K2" s="4"/>
      <c r="L2" s="4"/>
      <c r="M2" s="5"/>
      <c r="N2" s="4"/>
      <c r="O2" s="6"/>
      <c r="P2" s="8"/>
      <c r="Q2" s="8"/>
      <c r="R2" s="6"/>
      <c r="S2" s="6"/>
      <c r="T2" s="6"/>
      <c r="U2" s="6"/>
      <c r="V2" s="7"/>
    </row>
    <row r="3" spans="5:22" ht="14.25" customHeight="1" x14ac:dyDescent="0.2">
      <c r="E3" s="2"/>
      <c r="F3" s="173"/>
      <c r="G3" s="173"/>
      <c r="H3" s="173"/>
      <c r="I3" s="4"/>
      <c r="J3" s="4"/>
      <c r="K3" s="6"/>
      <c r="L3" s="6"/>
      <c r="M3" s="8"/>
      <c r="N3" s="185" t="s">
        <v>29</v>
      </c>
      <c r="O3" s="185"/>
      <c r="P3" s="185"/>
      <c r="Q3" s="8"/>
      <c r="R3" s="6"/>
      <c r="S3" s="6"/>
      <c r="T3" s="6"/>
      <c r="U3" s="6"/>
      <c r="V3" s="7"/>
    </row>
    <row r="4" spans="5:22" ht="14.25" customHeight="1" x14ac:dyDescent="0.2">
      <c r="E4" s="2"/>
      <c r="F4" s="173"/>
      <c r="G4" s="173"/>
      <c r="H4" s="173"/>
      <c r="I4" s="4"/>
      <c r="J4" s="4"/>
      <c r="K4" s="4"/>
      <c r="L4" s="4"/>
      <c r="M4" s="5"/>
      <c r="N4" s="185"/>
      <c r="O4" s="185"/>
      <c r="P4" s="185"/>
      <c r="Q4" s="8"/>
      <c r="R4" s="6"/>
      <c r="S4" s="6"/>
      <c r="T4" s="6"/>
      <c r="U4" s="6"/>
      <c r="V4" s="7"/>
    </row>
    <row r="5" spans="5:22" x14ac:dyDescent="0.2">
      <c r="E5" s="2"/>
      <c r="F5" s="174"/>
      <c r="G5" s="174"/>
      <c r="H5" s="174"/>
      <c r="I5" s="6"/>
      <c r="J5" s="6"/>
      <c r="K5" s="6"/>
      <c r="L5" s="6"/>
      <c r="M5" s="8"/>
      <c r="N5" s="6"/>
      <c r="O5" s="6"/>
      <c r="P5" s="8"/>
      <c r="Q5" s="8"/>
      <c r="R5" s="6"/>
      <c r="S5" s="6"/>
      <c r="T5" s="6"/>
      <c r="U5" s="6"/>
      <c r="V5" s="7"/>
    </row>
    <row r="6" spans="5:22" x14ac:dyDescent="0.2">
      <c r="E6" s="2"/>
      <c r="F6" s="51"/>
      <c r="G6" s="52"/>
      <c r="H6" s="51"/>
      <c r="I6" s="186" t="s">
        <v>2</v>
      </c>
      <c r="J6" s="187"/>
      <c r="K6" s="187"/>
      <c r="L6" s="187"/>
      <c r="M6" s="187"/>
      <c r="N6" s="188"/>
      <c r="O6" s="53"/>
      <c r="P6" s="186" t="s">
        <v>30</v>
      </c>
      <c r="Q6" s="187"/>
      <c r="R6" s="187"/>
      <c r="S6" s="187"/>
      <c r="T6" s="187"/>
      <c r="U6" s="188"/>
      <c r="V6" s="3"/>
    </row>
    <row r="7" spans="5:22" ht="65" x14ac:dyDescent="0.2">
      <c r="F7" s="12" t="s">
        <v>4</v>
      </c>
      <c r="G7" s="13" t="s">
        <v>5</v>
      </c>
      <c r="H7" s="12" t="s">
        <v>6</v>
      </c>
      <c r="I7" s="12" t="s">
        <v>7</v>
      </c>
      <c r="J7" s="12" t="s">
        <v>8</v>
      </c>
      <c r="K7" s="12" t="s">
        <v>9</v>
      </c>
      <c r="L7" s="12" t="s">
        <v>31</v>
      </c>
      <c r="M7" s="12" t="s">
        <v>11</v>
      </c>
      <c r="N7" s="12" t="s">
        <v>12</v>
      </c>
      <c r="P7" s="12" t="s">
        <v>7</v>
      </c>
      <c r="Q7" s="12" t="s">
        <v>8</v>
      </c>
      <c r="R7" s="12" t="s">
        <v>9</v>
      </c>
      <c r="S7" s="12" t="s">
        <v>31</v>
      </c>
      <c r="T7" s="12" t="s">
        <v>11</v>
      </c>
      <c r="U7" s="12" t="s">
        <v>12</v>
      </c>
      <c r="V7" s="12" t="s">
        <v>14</v>
      </c>
    </row>
    <row r="8" spans="5:22" x14ac:dyDescent="0.2">
      <c r="F8" s="14" t="s">
        <v>15</v>
      </c>
      <c r="G8" s="54">
        <v>1.5</v>
      </c>
      <c r="H8" s="16" t="s">
        <v>16</v>
      </c>
      <c r="I8" s="18">
        <f>'[1]Water_Rehab OD63_H=1.5 m'!Z16</f>
        <v>127.79080483137662</v>
      </c>
      <c r="J8" s="18">
        <f>'[1]Water_Rehab OD63_H=1.5 m'!AM16</f>
        <v>188.21960675412203</v>
      </c>
      <c r="K8" s="19">
        <f>(J8-I8)/J8</f>
        <v>0.32105476663589944</v>
      </c>
      <c r="L8" s="20">
        <f>[1]WATER_Reinstatement!$C$20</f>
        <v>167.28633975934412</v>
      </c>
      <c r="M8" s="21">
        <v>0.8</v>
      </c>
      <c r="N8" s="20">
        <f>J8+M8*1*L8</f>
        <v>322.04867856159728</v>
      </c>
      <c r="P8" s="189" t="s">
        <v>20</v>
      </c>
      <c r="Q8" s="190"/>
      <c r="R8" s="190"/>
      <c r="S8" s="190"/>
      <c r="T8" s="190"/>
      <c r="U8" s="191"/>
      <c r="V8" s="22"/>
    </row>
    <row r="9" spans="5:22" x14ac:dyDescent="0.2">
      <c r="F9" s="14" t="s">
        <v>15</v>
      </c>
      <c r="G9" s="54">
        <v>1.5</v>
      </c>
      <c r="H9" s="16" t="s">
        <v>17</v>
      </c>
      <c r="I9" s="20">
        <f>I8</f>
        <v>127.79080483137662</v>
      </c>
      <c r="J9" s="20">
        <f>J8</f>
        <v>188.21960675412203</v>
      </c>
      <c r="K9" s="23">
        <f>K8</f>
        <v>0.32105476663589944</v>
      </c>
      <c r="L9" s="20">
        <f>[1]WATER_Reinstatement!$P$20</f>
        <v>164.01041731565468</v>
      </c>
      <c r="M9" s="21">
        <v>0.8</v>
      </c>
      <c r="N9" s="20">
        <f>J9+M9*1*L9</f>
        <v>319.42794060664573</v>
      </c>
      <c r="P9" s="192"/>
      <c r="Q9" s="193"/>
      <c r="R9" s="193"/>
      <c r="S9" s="193"/>
      <c r="T9" s="193"/>
      <c r="U9" s="194"/>
      <c r="V9" s="24"/>
    </row>
    <row r="10" spans="5:22" x14ac:dyDescent="0.2">
      <c r="F10" s="14" t="s">
        <v>15</v>
      </c>
      <c r="G10" s="54">
        <v>1.5</v>
      </c>
      <c r="H10" s="16" t="s">
        <v>18</v>
      </c>
      <c r="I10" s="20">
        <f>I8</f>
        <v>127.79080483137662</v>
      </c>
      <c r="J10" s="20">
        <f>J8</f>
        <v>188.21960675412203</v>
      </c>
      <c r="K10" s="23">
        <f>K8</f>
        <v>0.32105476663589944</v>
      </c>
      <c r="L10" s="20">
        <f>[1]WATER_Reinstatement!$AA$20</f>
        <v>82.936542797695623</v>
      </c>
      <c r="M10" s="21">
        <v>0.8</v>
      </c>
      <c r="N10" s="20">
        <f>J10+M10*1*L10</f>
        <v>254.56884099227852</v>
      </c>
      <c r="P10" s="192"/>
      <c r="Q10" s="193"/>
      <c r="R10" s="193"/>
      <c r="S10" s="193"/>
      <c r="T10" s="193"/>
      <c r="U10" s="194"/>
      <c r="V10" s="24"/>
    </row>
    <row r="11" spans="5:22" x14ac:dyDescent="0.2">
      <c r="F11" s="14" t="s">
        <v>15</v>
      </c>
      <c r="G11" s="54">
        <v>1.5</v>
      </c>
      <c r="H11" s="16" t="s">
        <v>19</v>
      </c>
      <c r="I11" s="20">
        <f>I8</f>
        <v>127.79080483137662</v>
      </c>
      <c r="J11" s="20">
        <f>J8</f>
        <v>188.21960675412203</v>
      </c>
      <c r="K11" s="23">
        <f>K8</f>
        <v>0.32105476663589944</v>
      </c>
      <c r="L11" s="20">
        <f>[1]WATER_Reinstatement!$AL$20</f>
        <v>34.229193013075353</v>
      </c>
      <c r="M11" s="21">
        <v>0.8</v>
      </c>
      <c r="N11" s="20">
        <f>J11+M11*1*L11</f>
        <v>215.60296116458233</v>
      </c>
      <c r="P11" s="195"/>
      <c r="Q11" s="196"/>
      <c r="R11" s="196"/>
      <c r="S11" s="196"/>
      <c r="T11" s="196"/>
      <c r="U11" s="197"/>
      <c r="V11" s="24"/>
    </row>
    <row r="12" spans="5:22" ht="6" customHeight="1" x14ac:dyDescent="0.2">
      <c r="F12" s="25"/>
      <c r="G12" s="55"/>
      <c r="H12" s="27"/>
      <c r="I12" s="33"/>
      <c r="J12" s="33"/>
      <c r="K12" s="34"/>
      <c r="L12" s="33"/>
      <c r="M12" s="36"/>
      <c r="N12" s="33"/>
      <c r="V12" s="30"/>
    </row>
    <row r="13" spans="5:22" ht="14.25" customHeight="1" x14ac:dyDescent="0.2">
      <c r="F13" s="14" t="s">
        <v>15</v>
      </c>
      <c r="G13" s="54">
        <v>2</v>
      </c>
      <c r="H13" s="16" t="s">
        <v>16</v>
      </c>
      <c r="I13" s="189" t="s">
        <v>20</v>
      </c>
      <c r="J13" s="190"/>
      <c r="K13" s="190"/>
      <c r="L13" s="190"/>
      <c r="M13" s="190"/>
      <c r="N13" s="191"/>
      <c r="O13" s="56"/>
      <c r="P13" s="189" t="s">
        <v>20</v>
      </c>
      <c r="Q13" s="190"/>
      <c r="R13" s="190"/>
      <c r="S13" s="190"/>
      <c r="T13" s="190"/>
      <c r="U13" s="191"/>
      <c r="V13" s="24"/>
    </row>
    <row r="14" spans="5:22" ht="14.25" customHeight="1" x14ac:dyDescent="0.2">
      <c r="F14" s="14" t="s">
        <v>15</v>
      </c>
      <c r="G14" s="54">
        <v>2</v>
      </c>
      <c r="H14" s="16" t="s">
        <v>17</v>
      </c>
      <c r="I14" s="192"/>
      <c r="J14" s="193"/>
      <c r="K14" s="193"/>
      <c r="L14" s="193"/>
      <c r="M14" s="193"/>
      <c r="N14" s="194"/>
      <c r="O14" s="57"/>
      <c r="P14" s="192"/>
      <c r="Q14" s="193"/>
      <c r="R14" s="193"/>
      <c r="S14" s="193"/>
      <c r="T14" s="193"/>
      <c r="U14" s="194"/>
      <c r="V14" s="24"/>
    </row>
    <row r="15" spans="5:22" ht="14.25" customHeight="1" x14ac:dyDescent="0.2">
      <c r="F15" s="14" t="s">
        <v>15</v>
      </c>
      <c r="G15" s="54">
        <v>2</v>
      </c>
      <c r="H15" s="16" t="s">
        <v>18</v>
      </c>
      <c r="I15" s="192"/>
      <c r="J15" s="193"/>
      <c r="K15" s="193"/>
      <c r="L15" s="193"/>
      <c r="M15" s="193"/>
      <c r="N15" s="194"/>
      <c r="O15" s="57"/>
      <c r="P15" s="192"/>
      <c r="Q15" s="193"/>
      <c r="R15" s="193"/>
      <c r="S15" s="193"/>
      <c r="T15" s="193"/>
      <c r="U15" s="194"/>
      <c r="V15" s="24"/>
    </row>
    <row r="16" spans="5:22" ht="14.25" customHeight="1" x14ac:dyDescent="0.2">
      <c r="F16" s="14" t="s">
        <v>15</v>
      </c>
      <c r="G16" s="54">
        <v>2</v>
      </c>
      <c r="H16" s="16" t="s">
        <v>19</v>
      </c>
      <c r="I16" s="195"/>
      <c r="J16" s="196"/>
      <c r="K16" s="196"/>
      <c r="L16" s="196"/>
      <c r="M16" s="196"/>
      <c r="N16" s="197"/>
      <c r="O16" s="58"/>
      <c r="P16" s="195"/>
      <c r="Q16" s="196"/>
      <c r="R16" s="196"/>
      <c r="S16" s="196"/>
      <c r="T16" s="196"/>
      <c r="U16" s="197"/>
      <c r="V16" s="24"/>
    </row>
    <row r="17" spans="6:22" ht="6" customHeight="1" x14ac:dyDescent="0.2">
      <c r="F17" s="25"/>
      <c r="G17" s="55"/>
      <c r="H17" s="27"/>
      <c r="I17" s="59"/>
      <c r="J17" s="59"/>
      <c r="K17" s="60"/>
      <c r="L17" s="61"/>
      <c r="M17" s="62"/>
      <c r="N17" s="61"/>
      <c r="P17" s="8"/>
      <c r="Q17" s="8"/>
      <c r="R17" s="6"/>
      <c r="S17" s="6"/>
      <c r="T17" s="6"/>
      <c r="U17" s="6"/>
      <c r="V17" s="30"/>
    </row>
    <row r="18" spans="6:22" ht="14.25" customHeight="1" x14ac:dyDescent="0.2">
      <c r="F18" s="14" t="s">
        <v>15</v>
      </c>
      <c r="G18" s="54">
        <v>2.5</v>
      </c>
      <c r="H18" s="16" t="s">
        <v>16</v>
      </c>
      <c r="I18" s="189" t="s">
        <v>20</v>
      </c>
      <c r="J18" s="190"/>
      <c r="K18" s="190"/>
      <c r="L18" s="190"/>
      <c r="M18" s="190"/>
      <c r="N18" s="191"/>
      <c r="O18" s="63"/>
      <c r="P18" s="189" t="s">
        <v>20</v>
      </c>
      <c r="Q18" s="190"/>
      <c r="R18" s="190"/>
      <c r="S18" s="190"/>
      <c r="T18" s="190"/>
      <c r="U18" s="191"/>
      <c r="V18" s="24"/>
    </row>
    <row r="19" spans="6:22" ht="14.25" customHeight="1" x14ac:dyDescent="0.2">
      <c r="F19" s="14" t="s">
        <v>15</v>
      </c>
      <c r="G19" s="54">
        <v>2.5</v>
      </c>
      <c r="H19" s="16" t="s">
        <v>17</v>
      </c>
      <c r="I19" s="192"/>
      <c r="J19" s="193"/>
      <c r="K19" s="193"/>
      <c r="L19" s="193"/>
      <c r="M19" s="193"/>
      <c r="N19" s="194"/>
      <c r="O19" s="64"/>
      <c r="P19" s="192"/>
      <c r="Q19" s="193"/>
      <c r="R19" s="193"/>
      <c r="S19" s="193"/>
      <c r="T19" s="193"/>
      <c r="U19" s="194"/>
      <c r="V19" s="24"/>
    </row>
    <row r="20" spans="6:22" ht="14.25" customHeight="1" x14ac:dyDescent="0.2">
      <c r="F20" s="14" t="s">
        <v>15</v>
      </c>
      <c r="G20" s="54">
        <v>2.5</v>
      </c>
      <c r="H20" s="16" t="s">
        <v>18</v>
      </c>
      <c r="I20" s="192"/>
      <c r="J20" s="193"/>
      <c r="K20" s="193"/>
      <c r="L20" s="193"/>
      <c r="M20" s="193"/>
      <c r="N20" s="194"/>
      <c r="O20" s="64"/>
      <c r="P20" s="192"/>
      <c r="Q20" s="193"/>
      <c r="R20" s="193"/>
      <c r="S20" s="193"/>
      <c r="T20" s="193"/>
      <c r="U20" s="194"/>
      <c r="V20" s="24"/>
    </row>
    <row r="21" spans="6:22" ht="14.25" customHeight="1" x14ac:dyDescent="0.2">
      <c r="F21" s="14" t="s">
        <v>15</v>
      </c>
      <c r="G21" s="54">
        <v>2.5</v>
      </c>
      <c r="H21" s="16" t="s">
        <v>19</v>
      </c>
      <c r="I21" s="195"/>
      <c r="J21" s="196"/>
      <c r="K21" s="196"/>
      <c r="L21" s="196"/>
      <c r="M21" s="196"/>
      <c r="N21" s="197"/>
      <c r="O21" s="65"/>
      <c r="P21" s="195"/>
      <c r="Q21" s="196"/>
      <c r="R21" s="196"/>
      <c r="S21" s="196"/>
      <c r="T21" s="196"/>
      <c r="U21" s="197"/>
      <c r="V21" s="24"/>
    </row>
    <row r="22" spans="6:22" ht="6" customHeight="1" x14ac:dyDescent="0.2">
      <c r="F22" s="40"/>
      <c r="K22" s="45"/>
      <c r="L22" s="46"/>
      <c r="M22" s="66"/>
      <c r="N22" s="46"/>
      <c r="P22" s="8"/>
      <c r="Q22" s="8"/>
      <c r="R22" s="6"/>
      <c r="S22" s="6"/>
      <c r="T22" s="6"/>
      <c r="U22" s="6"/>
    </row>
    <row r="23" spans="6:22" x14ac:dyDescent="0.2">
      <c r="F23" s="14" t="s">
        <v>21</v>
      </c>
      <c r="G23" s="54">
        <v>1.5</v>
      </c>
      <c r="H23" s="16" t="s">
        <v>16</v>
      </c>
      <c r="I23" s="18">
        <f>'[1]Water_Rehab OD90_H=1.5 m'!Z16</f>
        <v>158.17521629455811</v>
      </c>
      <c r="J23" s="18">
        <f>'[1]Water_Rehab OD90_H=1.5 m'!AM16</f>
        <v>254.28511540366955</v>
      </c>
      <c r="K23" s="19">
        <f>(J23-I23)/J23</f>
        <v>0.37796116755217868</v>
      </c>
      <c r="L23" s="20">
        <f>[1]WATER_Reinstatement!$C$20</f>
        <v>167.28633975934412</v>
      </c>
      <c r="M23" s="21">
        <v>0.8</v>
      </c>
      <c r="N23" s="20">
        <f>J23+M23*1*L23</f>
        <v>388.11418721114484</v>
      </c>
      <c r="P23" s="189" t="s">
        <v>20</v>
      </c>
      <c r="Q23" s="190"/>
      <c r="R23" s="190"/>
      <c r="S23" s="190"/>
      <c r="T23" s="190"/>
      <c r="U23" s="191"/>
      <c r="V23" s="24"/>
    </row>
    <row r="24" spans="6:22" x14ac:dyDescent="0.2">
      <c r="F24" s="14" t="s">
        <v>21</v>
      </c>
      <c r="G24" s="54">
        <v>1.5</v>
      </c>
      <c r="H24" s="16" t="s">
        <v>17</v>
      </c>
      <c r="I24" s="20">
        <f>I23</f>
        <v>158.17521629455811</v>
      </c>
      <c r="J24" s="20">
        <f>J23</f>
        <v>254.28511540366955</v>
      </c>
      <c r="K24" s="23">
        <f>K23</f>
        <v>0.37796116755217868</v>
      </c>
      <c r="L24" s="20">
        <f>[1]WATER_Reinstatement!$P$20</f>
        <v>164.01041731565468</v>
      </c>
      <c r="M24" s="21">
        <v>0.8</v>
      </c>
      <c r="N24" s="20">
        <f>J24+M24*1*L24</f>
        <v>385.49344925619329</v>
      </c>
      <c r="P24" s="192"/>
      <c r="Q24" s="193"/>
      <c r="R24" s="193"/>
      <c r="S24" s="193"/>
      <c r="T24" s="193"/>
      <c r="U24" s="194"/>
      <c r="V24" s="24"/>
    </row>
    <row r="25" spans="6:22" x14ac:dyDescent="0.2">
      <c r="F25" s="14" t="s">
        <v>21</v>
      </c>
      <c r="G25" s="54">
        <v>1.5</v>
      </c>
      <c r="H25" s="16" t="s">
        <v>18</v>
      </c>
      <c r="I25" s="20">
        <f>I23</f>
        <v>158.17521629455811</v>
      </c>
      <c r="J25" s="20">
        <f>J23</f>
        <v>254.28511540366955</v>
      </c>
      <c r="K25" s="23">
        <f>K23</f>
        <v>0.37796116755217868</v>
      </c>
      <c r="L25" s="20">
        <f>[1]WATER_Reinstatement!$AA$20</f>
        <v>82.936542797695623</v>
      </c>
      <c r="M25" s="21">
        <v>0.8</v>
      </c>
      <c r="N25" s="20">
        <f>J25+M25*1*L25</f>
        <v>320.63434964182602</v>
      </c>
      <c r="P25" s="192"/>
      <c r="Q25" s="193"/>
      <c r="R25" s="193"/>
      <c r="S25" s="193"/>
      <c r="T25" s="193"/>
      <c r="U25" s="194"/>
      <c r="V25" s="24"/>
    </row>
    <row r="26" spans="6:22" x14ac:dyDescent="0.2">
      <c r="F26" s="14" t="s">
        <v>21</v>
      </c>
      <c r="G26" s="54">
        <v>1.5</v>
      </c>
      <c r="H26" s="16" t="s">
        <v>19</v>
      </c>
      <c r="I26" s="20">
        <f>I23</f>
        <v>158.17521629455811</v>
      </c>
      <c r="J26" s="20">
        <f>J23</f>
        <v>254.28511540366955</v>
      </c>
      <c r="K26" s="23">
        <f>K23</f>
        <v>0.37796116755217868</v>
      </c>
      <c r="L26" s="20">
        <f>[1]WATER_Reinstatement!$AL$20</f>
        <v>34.229193013075353</v>
      </c>
      <c r="M26" s="21">
        <v>0.8</v>
      </c>
      <c r="N26" s="20">
        <f>J26+M26*1*L26</f>
        <v>281.66846981412982</v>
      </c>
      <c r="P26" s="195"/>
      <c r="Q26" s="196"/>
      <c r="R26" s="196"/>
      <c r="S26" s="196"/>
      <c r="T26" s="196"/>
      <c r="U26" s="197"/>
      <c r="V26" s="24"/>
    </row>
    <row r="27" spans="6:22" ht="6" customHeight="1" x14ac:dyDescent="0.2">
      <c r="F27" s="25"/>
      <c r="G27" s="55"/>
      <c r="H27" s="27"/>
      <c r="I27" s="44"/>
      <c r="J27" s="27"/>
      <c r="K27" s="28"/>
      <c r="L27" s="44"/>
      <c r="M27" s="29"/>
      <c r="N27" s="44"/>
      <c r="P27" s="8"/>
      <c r="Q27" s="8"/>
      <c r="R27" s="6"/>
      <c r="S27" s="6"/>
      <c r="T27" s="6"/>
      <c r="U27" s="6"/>
      <c r="V27" s="30"/>
    </row>
    <row r="28" spans="6:22" x14ac:dyDescent="0.2">
      <c r="F28" s="14" t="s">
        <v>21</v>
      </c>
      <c r="G28" s="54">
        <v>2</v>
      </c>
      <c r="H28" s="16" t="s">
        <v>16</v>
      </c>
      <c r="I28" s="18">
        <f>'[1]Water_Rehab OD90_H=2.0 m'!Z16</f>
        <v>185.36477950700399</v>
      </c>
      <c r="J28" s="18">
        <f>'[1]Water_Rehab OD90_H=2.0 m'!AM16</f>
        <v>335.10767985062495</v>
      </c>
      <c r="K28" s="19">
        <f>(J28-I28)/J28</f>
        <v>0.44685010027334859</v>
      </c>
      <c r="L28" s="20">
        <f>[1]WATER_Reinstatement!$C$20</f>
        <v>167.28633975934412</v>
      </c>
      <c r="M28" s="21">
        <v>0.8</v>
      </c>
      <c r="N28" s="20">
        <f>J28+M28*1*L28</f>
        <v>468.93675165810021</v>
      </c>
      <c r="P28" s="189" t="s">
        <v>20</v>
      </c>
      <c r="Q28" s="190"/>
      <c r="R28" s="190"/>
      <c r="S28" s="190"/>
      <c r="T28" s="190"/>
      <c r="U28" s="191"/>
      <c r="V28" s="24"/>
    </row>
    <row r="29" spans="6:22" x14ac:dyDescent="0.2">
      <c r="F29" s="14" t="s">
        <v>21</v>
      </c>
      <c r="G29" s="54">
        <v>2</v>
      </c>
      <c r="H29" s="16" t="s">
        <v>17</v>
      </c>
      <c r="I29" s="20">
        <f>I28</f>
        <v>185.36477950700399</v>
      </c>
      <c r="J29" s="20">
        <f>J28</f>
        <v>335.10767985062495</v>
      </c>
      <c r="K29" s="23">
        <f>K28</f>
        <v>0.44685010027334859</v>
      </c>
      <c r="L29" s="20">
        <f>[1]WATER_Reinstatement!$P$20</f>
        <v>164.01041731565468</v>
      </c>
      <c r="M29" s="21">
        <v>0.8</v>
      </c>
      <c r="N29" s="20">
        <f>J29+M29*1*L29</f>
        <v>466.31601370314866</v>
      </c>
      <c r="P29" s="192"/>
      <c r="Q29" s="193"/>
      <c r="R29" s="193"/>
      <c r="S29" s="193"/>
      <c r="T29" s="193"/>
      <c r="U29" s="194"/>
      <c r="V29" s="24"/>
    </row>
    <row r="30" spans="6:22" x14ac:dyDescent="0.2">
      <c r="F30" s="14" t="s">
        <v>21</v>
      </c>
      <c r="G30" s="54">
        <v>2</v>
      </c>
      <c r="H30" s="16" t="s">
        <v>18</v>
      </c>
      <c r="I30" s="20">
        <f>I28</f>
        <v>185.36477950700399</v>
      </c>
      <c r="J30" s="20">
        <f>J28</f>
        <v>335.10767985062495</v>
      </c>
      <c r="K30" s="23">
        <f>K28</f>
        <v>0.44685010027334859</v>
      </c>
      <c r="L30" s="20">
        <f>[1]WATER_Reinstatement!$AA$20</f>
        <v>82.936542797695623</v>
      </c>
      <c r="M30" s="21">
        <v>0.8</v>
      </c>
      <c r="N30" s="20">
        <f>J30+M30*1*L30</f>
        <v>401.45691408878145</v>
      </c>
      <c r="P30" s="192"/>
      <c r="Q30" s="193"/>
      <c r="R30" s="193"/>
      <c r="S30" s="193"/>
      <c r="T30" s="193"/>
      <c r="U30" s="194"/>
      <c r="V30" s="24"/>
    </row>
    <row r="31" spans="6:22" x14ac:dyDescent="0.2">
      <c r="F31" s="14" t="s">
        <v>21</v>
      </c>
      <c r="G31" s="54">
        <v>2</v>
      </c>
      <c r="H31" s="16" t="s">
        <v>19</v>
      </c>
      <c r="I31" s="20">
        <f>I28</f>
        <v>185.36477950700399</v>
      </c>
      <c r="J31" s="20">
        <f>J28</f>
        <v>335.10767985062495</v>
      </c>
      <c r="K31" s="23">
        <f>K28</f>
        <v>0.44685010027334859</v>
      </c>
      <c r="L31" s="20">
        <f>[1]WATER_Reinstatement!$AL$20</f>
        <v>34.229193013075353</v>
      </c>
      <c r="M31" s="21">
        <v>0.8</v>
      </c>
      <c r="N31" s="20">
        <f>J31+M31*1*L31</f>
        <v>362.49103426108525</v>
      </c>
      <c r="P31" s="195"/>
      <c r="Q31" s="196"/>
      <c r="R31" s="196"/>
      <c r="S31" s="196"/>
      <c r="T31" s="196"/>
      <c r="U31" s="197"/>
      <c r="V31" s="24"/>
    </row>
    <row r="32" spans="6:22" ht="6" customHeight="1" x14ac:dyDescent="0.2">
      <c r="F32" s="25"/>
      <c r="G32" s="55"/>
      <c r="H32" s="27"/>
      <c r="I32" s="27"/>
      <c r="J32" s="27"/>
      <c r="K32" s="28"/>
      <c r="L32" s="44"/>
      <c r="M32" s="29"/>
      <c r="N32" s="44"/>
      <c r="P32" s="8"/>
      <c r="Q32" s="8"/>
      <c r="R32" s="6"/>
      <c r="S32" s="6"/>
      <c r="T32" s="6"/>
      <c r="U32" s="6"/>
      <c r="V32" s="30"/>
    </row>
    <row r="33" spans="6:22" x14ac:dyDescent="0.2">
      <c r="F33" s="14" t="s">
        <v>21</v>
      </c>
      <c r="G33" s="54">
        <v>2.5</v>
      </c>
      <c r="H33" s="16" t="s">
        <v>16</v>
      </c>
      <c r="I33" s="18">
        <f>'[1]Water_Rehab OD90_H=2.5 m'!Z16</f>
        <v>335.83423509685781</v>
      </c>
      <c r="J33" s="67">
        <f>'[1]Water_Rehab OD90_H=2.5 m'!AM16</f>
        <v>526.70258119300195</v>
      </c>
      <c r="K33" s="19">
        <f>(J33-I33)/J33</f>
        <v>0.36238354037267079</v>
      </c>
      <c r="L33" s="20">
        <f>[1]WATER_Reinstatement!$C$20</f>
        <v>167.28633975934412</v>
      </c>
      <c r="M33" s="21">
        <v>0.8</v>
      </c>
      <c r="N33" s="20">
        <f>J33+M33*1*L33</f>
        <v>660.53165300047726</v>
      </c>
      <c r="P33" s="189" t="s">
        <v>20</v>
      </c>
      <c r="Q33" s="190"/>
      <c r="R33" s="190"/>
      <c r="S33" s="190"/>
      <c r="T33" s="190"/>
      <c r="U33" s="191"/>
      <c r="V33" s="182" t="s">
        <v>32</v>
      </c>
    </row>
    <row r="34" spans="6:22" x14ac:dyDescent="0.2">
      <c r="F34" s="14" t="s">
        <v>21</v>
      </c>
      <c r="G34" s="54">
        <v>2.5</v>
      </c>
      <c r="H34" s="16" t="s">
        <v>17</v>
      </c>
      <c r="I34" s="20">
        <f>I33</f>
        <v>335.83423509685781</v>
      </c>
      <c r="J34" s="20">
        <f>J33</f>
        <v>526.70258119300195</v>
      </c>
      <c r="K34" s="23">
        <f>K33</f>
        <v>0.36238354037267079</v>
      </c>
      <c r="L34" s="20">
        <f>[1]WATER_Reinstatement!$P$20</f>
        <v>164.01041731565468</v>
      </c>
      <c r="M34" s="21">
        <v>0.8</v>
      </c>
      <c r="N34" s="20">
        <f>J34+M34*1*L34</f>
        <v>657.91091504552571</v>
      </c>
      <c r="P34" s="192"/>
      <c r="Q34" s="193"/>
      <c r="R34" s="193"/>
      <c r="S34" s="193"/>
      <c r="T34" s="193"/>
      <c r="U34" s="194"/>
      <c r="V34" s="183"/>
    </row>
    <row r="35" spans="6:22" x14ac:dyDescent="0.2">
      <c r="F35" s="14" t="s">
        <v>21</v>
      </c>
      <c r="G35" s="54">
        <v>2.5</v>
      </c>
      <c r="H35" s="16" t="s">
        <v>18</v>
      </c>
      <c r="I35" s="20">
        <f>I33</f>
        <v>335.83423509685781</v>
      </c>
      <c r="J35" s="20">
        <f>J33</f>
        <v>526.70258119300195</v>
      </c>
      <c r="K35" s="23">
        <f>K33</f>
        <v>0.36238354037267079</v>
      </c>
      <c r="L35" s="20">
        <f>[1]WATER_Reinstatement!$AA$20</f>
        <v>82.936542797695623</v>
      </c>
      <c r="M35" s="21">
        <v>0.8</v>
      </c>
      <c r="N35" s="20">
        <f>J35+M35*1*L35</f>
        <v>593.0518154311585</v>
      </c>
      <c r="P35" s="192"/>
      <c r="Q35" s="193"/>
      <c r="R35" s="193"/>
      <c r="S35" s="193"/>
      <c r="T35" s="193"/>
      <c r="U35" s="194"/>
      <c r="V35" s="183"/>
    </row>
    <row r="36" spans="6:22" x14ac:dyDescent="0.2">
      <c r="F36" s="14" t="s">
        <v>21</v>
      </c>
      <c r="G36" s="54">
        <v>2.5</v>
      </c>
      <c r="H36" s="16" t="s">
        <v>19</v>
      </c>
      <c r="I36" s="20">
        <f>I33</f>
        <v>335.83423509685781</v>
      </c>
      <c r="J36" s="20">
        <f>J33</f>
        <v>526.70258119300195</v>
      </c>
      <c r="K36" s="23">
        <f>K33</f>
        <v>0.36238354037267079</v>
      </c>
      <c r="L36" s="20">
        <f>[1]WATER_Reinstatement!$AL$20</f>
        <v>34.229193013075353</v>
      </c>
      <c r="M36" s="21">
        <v>0.8</v>
      </c>
      <c r="N36" s="20">
        <f>J36+M36*1*L36</f>
        <v>554.08593560346219</v>
      </c>
      <c r="P36" s="195"/>
      <c r="Q36" s="196"/>
      <c r="R36" s="196"/>
      <c r="S36" s="196"/>
      <c r="T36" s="196"/>
      <c r="U36" s="197"/>
      <c r="V36" s="184"/>
    </row>
    <row r="37" spans="6:22" ht="6" customHeight="1" x14ac:dyDescent="0.2">
      <c r="F37" s="40"/>
      <c r="I37" s="198"/>
      <c r="J37" s="198"/>
      <c r="K37" s="198"/>
      <c r="L37" s="198"/>
      <c r="M37" s="198"/>
      <c r="N37" s="198"/>
      <c r="O37" s="11"/>
      <c r="P37" s="198"/>
      <c r="Q37" s="198"/>
      <c r="R37" s="198"/>
      <c r="S37" s="198"/>
      <c r="T37" s="198"/>
      <c r="U37" s="198"/>
    </row>
    <row r="38" spans="6:22" x14ac:dyDescent="0.2">
      <c r="F38" s="14" t="s">
        <v>22</v>
      </c>
      <c r="G38" s="54">
        <v>1.5</v>
      </c>
      <c r="H38" s="16" t="s">
        <v>16</v>
      </c>
      <c r="I38" s="18">
        <f>'[1]Water_Rehab OD110_H=1.5 m'!Z19</f>
        <v>141.56660167222802</v>
      </c>
      <c r="J38" s="18">
        <f>'[1]Water_Rehab OD110_H=1.5 m'!AN20</f>
        <v>465.06559470746265</v>
      </c>
      <c r="K38" s="19">
        <f>(J38-I38)/J38</f>
        <v>0.69559863536825006</v>
      </c>
      <c r="L38" s="20">
        <f>[1]WATER_Reinstatement!$C$20</f>
        <v>167.28633975934412</v>
      </c>
      <c r="M38" s="21">
        <v>0.8</v>
      </c>
      <c r="N38" s="20">
        <f>J38+M38*1*L38</f>
        <v>598.89466651493797</v>
      </c>
      <c r="P38" s="67">
        <f>'[1]Water_Rehab OD110_H=1.5 m'!Z19</f>
        <v>141.56660167222802</v>
      </c>
      <c r="Q38" s="67">
        <f>'[1]Water_Rehab OD110_H=1.5 m'!AN19</f>
        <v>243.37508142614652</v>
      </c>
      <c r="R38" s="19">
        <f>(Q38-P38)/Q38</f>
        <v>0.41831924269869358</v>
      </c>
      <c r="S38" s="20">
        <f>[1]WATER_Reinstatement!$C$20</f>
        <v>167.28633975934412</v>
      </c>
      <c r="T38" s="21">
        <v>0.8</v>
      </c>
      <c r="U38" s="20">
        <f>Q38+T38*1*S38</f>
        <v>377.20415323362181</v>
      </c>
      <c r="V38" s="200" t="s">
        <v>33</v>
      </c>
    </row>
    <row r="39" spans="6:22" x14ac:dyDescent="0.2">
      <c r="F39" s="14" t="s">
        <v>22</v>
      </c>
      <c r="G39" s="54">
        <v>1.5</v>
      </c>
      <c r="H39" s="16" t="s">
        <v>17</v>
      </c>
      <c r="I39" s="20">
        <f>I38</f>
        <v>141.56660167222802</v>
      </c>
      <c r="J39" s="20">
        <f>J38</f>
        <v>465.06559470746265</v>
      </c>
      <c r="K39" s="23">
        <f>K38</f>
        <v>0.69559863536825006</v>
      </c>
      <c r="L39" s="20">
        <f>[1]WATER_Reinstatement!$P$20</f>
        <v>164.01041731565468</v>
      </c>
      <c r="M39" s="21">
        <v>0.8</v>
      </c>
      <c r="N39" s="20">
        <f>J39+M39*1*L39</f>
        <v>596.27392855998642</v>
      </c>
      <c r="P39" s="21">
        <f>P38</f>
        <v>141.56660167222802</v>
      </c>
      <c r="Q39" s="21">
        <f>Q38</f>
        <v>243.37508142614652</v>
      </c>
      <c r="R39" s="23">
        <f>R38</f>
        <v>0.41831924269869358</v>
      </c>
      <c r="S39" s="20">
        <f>[1]WATER_Reinstatement!$P$20</f>
        <v>164.01041731565468</v>
      </c>
      <c r="T39" s="21">
        <v>0.8</v>
      </c>
      <c r="U39" s="20">
        <f>Q39+T39*1*S39</f>
        <v>374.58341527867026</v>
      </c>
      <c r="V39" s="201"/>
    </row>
    <row r="40" spans="6:22" x14ac:dyDescent="0.2">
      <c r="F40" s="14" t="s">
        <v>22</v>
      </c>
      <c r="G40" s="54">
        <v>1.5</v>
      </c>
      <c r="H40" s="16" t="s">
        <v>18</v>
      </c>
      <c r="I40" s="20">
        <f>I38</f>
        <v>141.56660167222802</v>
      </c>
      <c r="J40" s="20">
        <f>J38</f>
        <v>465.06559470746265</v>
      </c>
      <c r="K40" s="23">
        <f>K38</f>
        <v>0.69559863536825006</v>
      </c>
      <c r="L40" s="20">
        <f>[1]WATER_Reinstatement!$AA$20</f>
        <v>82.936542797695623</v>
      </c>
      <c r="M40" s="21">
        <v>0.8</v>
      </c>
      <c r="N40" s="20">
        <f>J40+M40*1*L40</f>
        <v>531.41482894561909</v>
      </c>
      <c r="P40" s="21">
        <f>P38</f>
        <v>141.56660167222802</v>
      </c>
      <c r="Q40" s="21">
        <f>Q38</f>
        <v>243.37508142614652</v>
      </c>
      <c r="R40" s="23">
        <f>R38</f>
        <v>0.41831924269869358</v>
      </c>
      <c r="S40" s="20">
        <f>[1]WATER_Reinstatement!$AA$20</f>
        <v>82.936542797695623</v>
      </c>
      <c r="T40" s="21">
        <v>0.8</v>
      </c>
      <c r="U40" s="20">
        <f>Q40+T40*1*S40</f>
        <v>309.72431566430305</v>
      </c>
      <c r="V40" s="201"/>
    </row>
    <row r="41" spans="6:22" x14ac:dyDescent="0.2">
      <c r="F41" s="14" t="s">
        <v>22</v>
      </c>
      <c r="G41" s="54">
        <v>1.5</v>
      </c>
      <c r="H41" s="16" t="s">
        <v>19</v>
      </c>
      <c r="I41" s="20">
        <f>I38</f>
        <v>141.56660167222802</v>
      </c>
      <c r="J41" s="20">
        <f>J38</f>
        <v>465.06559470746265</v>
      </c>
      <c r="K41" s="23">
        <f>K38</f>
        <v>0.69559863536825006</v>
      </c>
      <c r="L41" s="20">
        <f>[1]WATER_Reinstatement!$AL$20</f>
        <v>34.229193013075353</v>
      </c>
      <c r="M41" s="21">
        <v>0.8</v>
      </c>
      <c r="N41" s="20">
        <f>J41+M41*1*L41</f>
        <v>492.44894911792295</v>
      </c>
      <c r="P41" s="21">
        <f>P38</f>
        <v>141.56660167222802</v>
      </c>
      <c r="Q41" s="21">
        <f>Q38</f>
        <v>243.37508142614652</v>
      </c>
      <c r="R41" s="23">
        <f>R38</f>
        <v>0.41831924269869358</v>
      </c>
      <c r="S41" s="20">
        <f>[1]WATER_Reinstatement!$AL$20</f>
        <v>34.229193013075353</v>
      </c>
      <c r="T41" s="21">
        <v>0.8</v>
      </c>
      <c r="U41" s="20">
        <f>Q41+T41*1*S41</f>
        <v>270.75843583660679</v>
      </c>
      <c r="V41" s="202"/>
    </row>
    <row r="42" spans="6:22" ht="6" customHeight="1" x14ac:dyDescent="0.2">
      <c r="F42" s="25"/>
      <c r="G42" s="55"/>
      <c r="H42" s="27"/>
      <c r="I42" s="198"/>
      <c r="J42" s="199"/>
      <c r="K42" s="199"/>
      <c r="L42" s="199"/>
      <c r="M42" s="199"/>
      <c r="N42" s="199"/>
      <c r="P42" s="198"/>
      <c r="Q42" s="199"/>
      <c r="R42" s="199"/>
      <c r="S42" s="199"/>
      <c r="T42" s="199"/>
      <c r="U42" s="199"/>
      <c r="V42" s="30"/>
    </row>
    <row r="43" spans="6:22" x14ac:dyDescent="0.2">
      <c r="F43" s="14" t="s">
        <v>22</v>
      </c>
      <c r="G43" s="54">
        <v>2</v>
      </c>
      <c r="H43" s="16" t="s">
        <v>16</v>
      </c>
      <c r="I43" s="17">
        <f>'[1]Water_Rehab OD110_H=2.0 m'!Y20</f>
        <v>211.97972535068595</v>
      </c>
      <c r="J43" s="18">
        <f>'[1]Water_Rehab OD110_H=2.0 m'!AN20</f>
        <v>459.92871846104435</v>
      </c>
      <c r="K43" s="19">
        <f>(J43-I43)/J43</f>
        <v>0.53910308958312958</v>
      </c>
      <c r="L43" s="20">
        <f>[1]WATER_Reinstatement!$C$20</f>
        <v>167.28633975934412</v>
      </c>
      <c r="M43" s="21">
        <v>0.8</v>
      </c>
      <c r="N43" s="20">
        <f>J43+M43*1*L43</f>
        <v>593.75779026851967</v>
      </c>
      <c r="P43" s="67">
        <f>'[1]Water_Rehab OD110_H=2.0 m'!Y19</f>
        <v>162.37188806315748</v>
      </c>
      <c r="Q43" s="18">
        <f>'[1]Water_Rehab OD110_H=2.0 m'!AN19</f>
        <v>276.72411762478089</v>
      </c>
      <c r="R43" s="19">
        <f>(Q43-P43)/Q43</f>
        <v>0.41323550163660566</v>
      </c>
      <c r="S43" s="20">
        <f>[1]WATER_Reinstatement!$C$20</f>
        <v>167.28633975934412</v>
      </c>
      <c r="T43" s="21">
        <v>0.8</v>
      </c>
      <c r="U43" s="20">
        <f>Q43+T43*1*S43</f>
        <v>410.5531894322562</v>
      </c>
      <c r="V43" s="24"/>
    </row>
    <row r="44" spans="6:22" x14ac:dyDescent="0.2">
      <c r="F44" s="14" t="s">
        <v>22</v>
      </c>
      <c r="G44" s="54">
        <v>2</v>
      </c>
      <c r="H44" s="16" t="s">
        <v>17</v>
      </c>
      <c r="I44" s="16">
        <f>I43</f>
        <v>211.97972535068595</v>
      </c>
      <c r="J44" s="20">
        <f>J43</f>
        <v>459.92871846104435</v>
      </c>
      <c r="K44" s="23">
        <f>K43</f>
        <v>0.53910308958312958</v>
      </c>
      <c r="L44" s="20">
        <f>[1]WATER_Reinstatement!$P$20</f>
        <v>164.01041731565468</v>
      </c>
      <c r="M44" s="21">
        <v>0.8</v>
      </c>
      <c r="N44" s="20">
        <f>J44+M44*1*L44</f>
        <v>591.13705231356812</v>
      </c>
      <c r="P44" s="21">
        <f>P43</f>
        <v>162.37188806315748</v>
      </c>
      <c r="Q44" s="20">
        <f>Q43</f>
        <v>276.72411762478089</v>
      </c>
      <c r="R44" s="23">
        <f>R43</f>
        <v>0.41323550163660566</v>
      </c>
      <c r="S44" s="20">
        <f>[1]WATER_Reinstatement!$P$20</f>
        <v>164.01041731565468</v>
      </c>
      <c r="T44" s="21">
        <v>0.8</v>
      </c>
      <c r="U44" s="20">
        <f>Q44+T44*1*S44</f>
        <v>407.93245147730465</v>
      </c>
      <c r="V44" s="24"/>
    </row>
    <row r="45" spans="6:22" x14ac:dyDescent="0.2">
      <c r="F45" s="14" t="s">
        <v>22</v>
      </c>
      <c r="G45" s="54">
        <v>2</v>
      </c>
      <c r="H45" s="16" t="s">
        <v>18</v>
      </c>
      <c r="I45" s="16">
        <f>I43</f>
        <v>211.97972535068595</v>
      </c>
      <c r="J45" s="20">
        <f>J43</f>
        <v>459.92871846104435</v>
      </c>
      <c r="K45" s="23">
        <f>K43</f>
        <v>0.53910308958312958</v>
      </c>
      <c r="L45" s="20">
        <f>[1]WATER_Reinstatement!$AA$20</f>
        <v>82.936542797695623</v>
      </c>
      <c r="M45" s="21">
        <v>0.8</v>
      </c>
      <c r="N45" s="20">
        <f>J45+M45*1*L45</f>
        <v>526.2779526992008</v>
      </c>
      <c r="P45" s="21">
        <f>P43</f>
        <v>162.37188806315748</v>
      </c>
      <c r="Q45" s="20">
        <f>Q43</f>
        <v>276.72411762478089</v>
      </c>
      <c r="R45" s="23">
        <f>R43</f>
        <v>0.41323550163660566</v>
      </c>
      <c r="S45" s="20">
        <f>[1]WATER_Reinstatement!$AA$20</f>
        <v>82.936542797695623</v>
      </c>
      <c r="T45" s="21">
        <v>0.8</v>
      </c>
      <c r="U45" s="20">
        <f>Q45+T45*1*S45</f>
        <v>343.07335186293739</v>
      </c>
      <c r="V45" s="24"/>
    </row>
    <row r="46" spans="6:22" x14ac:dyDescent="0.2">
      <c r="F46" s="14" t="s">
        <v>22</v>
      </c>
      <c r="G46" s="54">
        <v>2</v>
      </c>
      <c r="H46" s="16" t="s">
        <v>19</v>
      </c>
      <c r="I46" s="16">
        <f>I43</f>
        <v>211.97972535068595</v>
      </c>
      <c r="J46" s="20">
        <f>J43</f>
        <v>459.92871846104435</v>
      </c>
      <c r="K46" s="23">
        <f>K43</f>
        <v>0.53910308958312958</v>
      </c>
      <c r="L46" s="20">
        <f>[1]WATER_Reinstatement!$AL$20</f>
        <v>34.229193013075353</v>
      </c>
      <c r="M46" s="21">
        <v>0.8</v>
      </c>
      <c r="N46" s="20">
        <f>J46+M46*1*L46</f>
        <v>487.31207287150465</v>
      </c>
      <c r="P46" s="21">
        <f>P43</f>
        <v>162.37188806315748</v>
      </c>
      <c r="Q46" s="20">
        <f>Q43</f>
        <v>276.72411762478089</v>
      </c>
      <c r="R46" s="23">
        <f>R43</f>
        <v>0.41323550163660566</v>
      </c>
      <c r="S46" s="20">
        <f>[1]WATER_Reinstatement!$AL$20</f>
        <v>34.229193013075353</v>
      </c>
      <c r="T46" s="21">
        <v>0.8</v>
      </c>
      <c r="U46" s="20">
        <f>Q46+T46*1*S46</f>
        <v>304.10747203524119</v>
      </c>
      <c r="V46" s="24"/>
    </row>
    <row r="47" spans="6:22" ht="6" customHeight="1" x14ac:dyDescent="0.2">
      <c r="F47" s="25"/>
      <c r="G47" s="55"/>
      <c r="H47" s="27"/>
      <c r="I47" s="198"/>
      <c r="J47" s="199"/>
      <c r="K47" s="199"/>
      <c r="L47" s="199"/>
      <c r="M47" s="199"/>
      <c r="N47" s="199"/>
      <c r="P47" s="198"/>
      <c r="Q47" s="199"/>
      <c r="R47" s="199"/>
      <c r="S47" s="199"/>
      <c r="T47" s="199"/>
      <c r="U47" s="199"/>
      <c r="V47" s="30"/>
    </row>
    <row r="48" spans="6:22" x14ac:dyDescent="0.2">
      <c r="F48" s="14" t="s">
        <v>22</v>
      </c>
      <c r="G48" s="54">
        <v>2.5</v>
      </c>
      <c r="H48" s="16" t="s">
        <v>16</v>
      </c>
      <c r="I48" s="18">
        <f>'[1]Water_Rehab OD110_H=2.5 m'!Y19</f>
        <v>245.29580173008361</v>
      </c>
      <c r="J48" s="67">
        <f>'[1]Water_Rehab OD110_H=2.5 m'!AN16</f>
        <v>413.9181736104378</v>
      </c>
      <c r="K48" s="19">
        <f>(J48-I48)/J48</f>
        <v>0.40738093331232761</v>
      </c>
      <c r="L48" s="20">
        <f>[1]WATER_Reinstatement!$C$20</f>
        <v>167.28633975934412</v>
      </c>
      <c r="M48" s="21">
        <v>0.8</v>
      </c>
      <c r="N48" s="20">
        <f>J48+M48*1*L48</f>
        <v>547.74724541791306</v>
      </c>
      <c r="P48" s="18">
        <f>'[1]Water_Rehab OD110_H=2.5 m'!Y18</f>
        <v>208.36696284632802</v>
      </c>
      <c r="Q48" s="67">
        <f>'[1]Water_Rehab OD110_H=2.5 m'!AN16</f>
        <v>413.9181736104378</v>
      </c>
      <c r="R48" s="19">
        <f>(Q48-P48)/Q48</f>
        <v>0.49659866096521255</v>
      </c>
      <c r="S48" s="20">
        <f>[1]WATER_Reinstatement!$C$20</f>
        <v>167.28633975934412</v>
      </c>
      <c r="T48" s="21">
        <v>0.8</v>
      </c>
      <c r="U48" s="20">
        <f>Q48+T48*1*S48</f>
        <v>547.74724541791306</v>
      </c>
      <c r="V48" s="203" t="s">
        <v>34</v>
      </c>
    </row>
    <row r="49" spans="6:22" x14ac:dyDescent="0.2">
      <c r="F49" s="14" t="s">
        <v>22</v>
      </c>
      <c r="G49" s="54">
        <v>2.5</v>
      </c>
      <c r="H49" s="16" t="s">
        <v>17</v>
      </c>
      <c r="I49" s="20">
        <f>I48</f>
        <v>245.29580173008361</v>
      </c>
      <c r="J49" s="21">
        <f>J48</f>
        <v>413.9181736104378</v>
      </c>
      <c r="K49" s="23">
        <f>K48</f>
        <v>0.40738093331232761</v>
      </c>
      <c r="L49" s="20">
        <f>[1]WATER_Reinstatement!$P$20</f>
        <v>164.01041731565468</v>
      </c>
      <c r="M49" s="21">
        <v>0.8</v>
      </c>
      <c r="N49" s="20">
        <f>J49+M49*1*L49</f>
        <v>545.12650746296151</v>
      </c>
      <c r="P49" s="20">
        <f>P48</f>
        <v>208.36696284632802</v>
      </c>
      <c r="Q49" s="21">
        <f>Q48</f>
        <v>413.9181736104378</v>
      </c>
      <c r="R49" s="23">
        <f>R48</f>
        <v>0.49659866096521255</v>
      </c>
      <c r="S49" s="20">
        <f>[1]WATER_Reinstatement!$P$20</f>
        <v>164.01041731565468</v>
      </c>
      <c r="T49" s="21">
        <v>0.8</v>
      </c>
      <c r="U49" s="20">
        <f>Q49+T49*1*S49</f>
        <v>545.12650746296151</v>
      </c>
      <c r="V49" s="204"/>
    </row>
    <row r="50" spans="6:22" x14ac:dyDescent="0.2">
      <c r="F50" s="14" t="s">
        <v>22</v>
      </c>
      <c r="G50" s="54">
        <v>2.5</v>
      </c>
      <c r="H50" s="16" t="s">
        <v>18</v>
      </c>
      <c r="I50" s="20">
        <f>I48</f>
        <v>245.29580173008361</v>
      </c>
      <c r="J50" s="21">
        <f>J48</f>
        <v>413.9181736104378</v>
      </c>
      <c r="K50" s="23">
        <f>K48</f>
        <v>0.40738093331232761</v>
      </c>
      <c r="L50" s="20">
        <f>[1]WATER_Reinstatement!$AA$20</f>
        <v>82.936542797695623</v>
      </c>
      <c r="M50" s="21">
        <v>0.8</v>
      </c>
      <c r="N50" s="20">
        <f>J50+M50*1*L50</f>
        <v>480.2674078485943</v>
      </c>
      <c r="P50" s="20">
        <f>P48</f>
        <v>208.36696284632802</v>
      </c>
      <c r="Q50" s="21">
        <f>Q48</f>
        <v>413.9181736104378</v>
      </c>
      <c r="R50" s="23">
        <f>R48</f>
        <v>0.49659866096521255</v>
      </c>
      <c r="S50" s="20">
        <f>[1]WATER_Reinstatement!$AA$20</f>
        <v>82.936542797695623</v>
      </c>
      <c r="T50" s="21">
        <v>0.8</v>
      </c>
      <c r="U50" s="20">
        <f>Q50+T50*1*S50</f>
        <v>480.2674078485943</v>
      </c>
      <c r="V50" s="204"/>
    </row>
    <row r="51" spans="6:22" x14ac:dyDescent="0.2">
      <c r="F51" s="14" t="s">
        <v>22</v>
      </c>
      <c r="G51" s="54">
        <v>2.5</v>
      </c>
      <c r="H51" s="16" t="s">
        <v>19</v>
      </c>
      <c r="I51" s="20">
        <f>I48</f>
        <v>245.29580173008361</v>
      </c>
      <c r="J51" s="21">
        <f>J48</f>
        <v>413.9181736104378</v>
      </c>
      <c r="K51" s="23">
        <f>K48</f>
        <v>0.40738093331232761</v>
      </c>
      <c r="L51" s="20">
        <f>[1]WATER_Reinstatement!$AL$20</f>
        <v>34.229193013075353</v>
      </c>
      <c r="M51" s="21">
        <v>0.8</v>
      </c>
      <c r="N51" s="20">
        <f>J51+M51*1*L51</f>
        <v>441.3015280208981</v>
      </c>
      <c r="P51" s="20">
        <f>P48</f>
        <v>208.36696284632802</v>
      </c>
      <c r="Q51" s="21">
        <f>Q48</f>
        <v>413.9181736104378</v>
      </c>
      <c r="R51" s="23">
        <f>R48</f>
        <v>0.49659866096521255</v>
      </c>
      <c r="S51" s="20">
        <f>[1]WATER_Reinstatement!$AL$20</f>
        <v>34.229193013075353</v>
      </c>
      <c r="T51" s="21">
        <v>0.8</v>
      </c>
      <c r="U51" s="20">
        <f>Q51+T51*1*S51</f>
        <v>441.3015280208981</v>
      </c>
      <c r="V51" s="205"/>
    </row>
    <row r="52" spans="6:22" ht="6" customHeight="1" x14ac:dyDescent="0.2">
      <c r="F52" s="25"/>
      <c r="G52" s="55"/>
      <c r="H52" s="27"/>
      <c r="I52" s="27"/>
      <c r="J52" s="29"/>
      <c r="K52" s="28"/>
      <c r="L52" s="44"/>
      <c r="M52" s="29"/>
      <c r="N52" s="44"/>
      <c r="V52" s="27"/>
    </row>
    <row r="53" spans="6:22" ht="14.25" customHeight="1" x14ac:dyDescent="0.2">
      <c r="F53" s="14" t="s">
        <v>24</v>
      </c>
      <c r="G53" s="54">
        <v>1.5</v>
      </c>
      <c r="H53" s="16" t="s">
        <v>16</v>
      </c>
      <c r="I53" s="189" t="s">
        <v>20</v>
      </c>
      <c r="J53" s="190"/>
      <c r="K53" s="190"/>
      <c r="L53" s="190"/>
      <c r="M53" s="190"/>
      <c r="N53" s="191"/>
      <c r="P53" s="189" t="s">
        <v>20</v>
      </c>
      <c r="Q53" s="190"/>
      <c r="R53" s="190"/>
      <c r="S53" s="190"/>
      <c r="T53" s="190"/>
      <c r="U53" s="191"/>
      <c r="V53" s="24"/>
    </row>
    <row r="54" spans="6:22" ht="14.25" customHeight="1" x14ac:dyDescent="0.2">
      <c r="F54" s="14" t="s">
        <v>24</v>
      </c>
      <c r="G54" s="54">
        <v>1.5</v>
      </c>
      <c r="H54" s="16" t="s">
        <v>17</v>
      </c>
      <c r="I54" s="192"/>
      <c r="J54" s="193"/>
      <c r="K54" s="193"/>
      <c r="L54" s="193"/>
      <c r="M54" s="193"/>
      <c r="N54" s="194"/>
      <c r="P54" s="192"/>
      <c r="Q54" s="193"/>
      <c r="R54" s="193"/>
      <c r="S54" s="193"/>
      <c r="T54" s="193"/>
      <c r="U54" s="194"/>
      <c r="V54" s="24"/>
    </row>
    <row r="55" spans="6:22" ht="14.25" customHeight="1" x14ac:dyDescent="0.2">
      <c r="F55" s="14" t="s">
        <v>24</v>
      </c>
      <c r="G55" s="54">
        <v>1.5</v>
      </c>
      <c r="H55" s="16" t="s">
        <v>18</v>
      </c>
      <c r="I55" s="192"/>
      <c r="J55" s="193"/>
      <c r="K55" s="193"/>
      <c r="L55" s="193"/>
      <c r="M55" s="193"/>
      <c r="N55" s="194"/>
      <c r="P55" s="192"/>
      <c r="Q55" s="193"/>
      <c r="R55" s="193"/>
      <c r="S55" s="193"/>
      <c r="T55" s="193"/>
      <c r="U55" s="194"/>
      <c r="V55" s="24"/>
    </row>
    <row r="56" spans="6:22" ht="14.25" customHeight="1" x14ac:dyDescent="0.2">
      <c r="F56" s="14" t="s">
        <v>24</v>
      </c>
      <c r="G56" s="54">
        <v>1.5</v>
      </c>
      <c r="H56" s="16" t="s">
        <v>19</v>
      </c>
      <c r="I56" s="195"/>
      <c r="J56" s="196"/>
      <c r="K56" s="196"/>
      <c r="L56" s="196"/>
      <c r="M56" s="196"/>
      <c r="N56" s="197"/>
      <c r="P56" s="195"/>
      <c r="Q56" s="196"/>
      <c r="R56" s="196"/>
      <c r="S56" s="196"/>
      <c r="T56" s="196"/>
      <c r="U56" s="197"/>
      <c r="V56" s="24"/>
    </row>
    <row r="57" spans="6:22" ht="6" customHeight="1" x14ac:dyDescent="0.2">
      <c r="F57" s="25"/>
      <c r="G57" s="55"/>
      <c r="H57" s="27"/>
      <c r="I57" s="27"/>
      <c r="J57" s="29"/>
      <c r="K57" s="28"/>
      <c r="L57" s="44"/>
      <c r="M57" s="29"/>
      <c r="N57" s="44"/>
      <c r="P57" s="8"/>
      <c r="Q57" s="8"/>
      <c r="R57" s="6"/>
      <c r="S57" s="6"/>
      <c r="T57" s="6"/>
      <c r="U57" s="6"/>
      <c r="V57" s="30"/>
    </row>
    <row r="58" spans="6:22" ht="14.25" customHeight="1" x14ac:dyDescent="0.2">
      <c r="F58" s="14" t="s">
        <v>24</v>
      </c>
      <c r="G58" s="54">
        <v>2</v>
      </c>
      <c r="H58" s="16" t="s">
        <v>16</v>
      </c>
      <c r="I58" s="189" t="s">
        <v>20</v>
      </c>
      <c r="J58" s="190"/>
      <c r="K58" s="190"/>
      <c r="L58" s="190"/>
      <c r="M58" s="190"/>
      <c r="N58" s="191"/>
      <c r="P58" s="189" t="s">
        <v>20</v>
      </c>
      <c r="Q58" s="190"/>
      <c r="R58" s="190"/>
      <c r="S58" s="190"/>
      <c r="T58" s="190"/>
      <c r="U58" s="191"/>
      <c r="V58" s="24"/>
    </row>
    <row r="59" spans="6:22" ht="14.25" customHeight="1" x14ac:dyDescent="0.2">
      <c r="F59" s="14" t="s">
        <v>24</v>
      </c>
      <c r="G59" s="54">
        <v>2</v>
      </c>
      <c r="H59" s="16" t="s">
        <v>17</v>
      </c>
      <c r="I59" s="192"/>
      <c r="J59" s="193"/>
      <c r="K59" s="193"/>
      <c r="L59" s="193"/>
      <c r="M59" s="193"/>
      <c r="N59" s="194"/>
      <c r="P59" s="192"/>
      <c r="Q59" s="193"/>
      <c r="R59" s="193"/>
      <c r="S59" s="193"/>
      <c r="T59" s="193"/>
      <c r="U59" s="194"/>
      <c r="V59" s="24"/>
    </row>
    <row r="60" spans="6:22" ht="14.25" customHeight="1" x14ac:dyDescent="0.2">
      <c r="F60" s="14" t="s">
        <v>24</v>
      </c>
      <c r="G60" s="54">
        <v>2</v>
      </c>
      <c r="H60" s="16" t="s">
        <v>18</v>
      </c>
      <c r="I60" s="192"/>
      <c r="J60" s="193"/>
      <c r="K60" s="193"/>
      <c r="L60" s="193"/>
      <c r="M60" s="193"/>
      <c r="N60" s="194"/>
      <c r="P60" s="192"/>
      <c r="Q60" s="193"/>
      <c r="R60" s="193"/>
      <c r="S60" s="193"/>
      <c r="T60" s="193"/>
      <c r="U60" s="194"/>
      <c r="V60" s="24"/>
    </row>
    <row r="61" spans="6:22" ht="14.25" customHeight="1" x14ac:dyDescent="0.2">
      <c r="F61" s="14" t="s">
        <v>24</v>
      </c>
      <c r="G61" s="54">
        <v>2</v>
      </c>
      <c r="H61" s="16" t="s">
        <v>19</v>
      </c>
      <c r="I61" s="195"/>
      <c r="J61" s="196"/>
      <c r="K61" s="196"/>
      <c r="L61" s="196"/>
      <c r="M61" s="196"/>
      <c r="N61" s="197"/>
      <c r="P61" s="195"/>
      <c r="Q61" s="196"/>
      <c r="R61" s="196"/>
      <c r="S61" s="196"/>
      <c r="T61" s="196"/>
      <c r="U61" s="197"/>
      <c r="V61" s="24"/>
    </row>
    <row r="62" spans="6:22" ht="6" customHeight="1" x14ac:dyDescent="0.2">
      <c r="F62" s="25"/>
      <c r="G62" s="55"/>
      <c r="H62" s="27"/>
      <c r="I62" s="27"/>
      <c r="J62" s="29"/>
      <c r="K62" s="28"/>
      <c r="L62" s="44"/>
      <c r="M62" s="29"/>
      <c r="N62" s="44"/>
      <c r="P62" s="8"/>
      <c r="Q62" s="8"/>
      <c r="R62" s="6"/>
      <c r="S62" s="6"/>
      <c r="T62" s="6"/>
      <c r="U62" s="6"/>
      <c r="V62" s="30"/>
    </row>
    <row r="63" spans="6:22" x14ac:dyDescent="0.2">
      <c r="F63" s="14" t="s">
        <v>24</v>
      </c>
      <c r="G63" s="54">
        <v>2.5</v>
      </c>
      <c r="H63" s="16" t="s">
        <v>16</v>
      </c>
      <c r="I63" s="189" t="s">
        <v>20</v>
      </c>
      <c r="J63" s="190"/>
      <c r="K63" s="190"/>
      <c r="L63" s="190"/>
      <c r="M63" s="190"/>
      <c r="N63" s="191"/>
      <c r="P63" s="189" t="s">
        <v>20</v>
      </c>
      <c r="Q63" s="190"/>
      <c r="R63" s="190"/>
      <c r="S63" s="190"/>
      <c r="T63" s="190"/>
      <c r="U63" s="191"/>
      <c r="V63" s="24"/>
    </row>
    <row r="64" spans="6:22" x14ac:dyDescent="0.2">
      <c r="F64" s="14" t="s">
        <v>24</v>
      </c>
      <c r="G64" s="54">
        <v>2.5</v>
      </c>
      <c r="H64" s="16" t="s">
        <v>17</v>
      </c>
      <c r="I64" s="192"/>
      <c r="J64" s="193"/>
      <c r="K64" s="193"/>
      <c r="L64" s="193"/>
      <c r="M64" s="193"/>
      <c r="N64" s="194"/>
      <c r="P64" s="192"/>
      <c r="Q64" s="193"/>
      <c r="R64" s="193"/>
      <c r="S64" s="193"/>
      <c r="T64" s="193"/>
      <c r="U64" s="194"/>
      <c r="V64" s="24"/>
    </row>
    <row r="65" spans="6:22" x14ac:dyDescent="0.2">
      <c r="F65" s="14" t="s">
        <v>24</v>
      </c>
      <c r="G65" s="54">
        <v>2.5</v>
      </c>
      <c r="H65" s="16" t="s">
        <v>18</v>
      </c>
      <c r="I65" s="192"/>
      <c r="J65" s="193"/>
      <c r="K65" s="193"/>
      <c r="L65" s="193"/>
      <c r="M65" s="193"/>
      <c r="N65" s="194"/>
      <c r="P65" s="192"/>
      <c r="Q65" s="193"/>
      <c r="R65" s="193"/>
      <c r="S65" s="193"/>
      <c r="T65" s="193"/>
      <c r="U65" s="194"/>
      <c r="V65" s="24"/>
    </row>
    <row r="66" spans="6:22" x14ac:dyDescent="0.2">
      <c r="F66" s="14" t="s">
        <v>24</v>
      </c>
      <c r="G66" s="54">
        <v>2.5</v>
      </c>
      <c r="H66" s="16" t="s">
        <v>19</v>
      </c>
      <c r="I66" s="195"/>
      <c r="J66" s="196"/>
      <c r="K66" s="196"/>
      <c r="L66" s="196"/>
      <c r="M66" s="196"/>
      <c r="N66" s="197"/>
      <c r="P66" s="195"/>
      <c r="Q66" s="196"/>
      <c r="R66" s="196"/>
      <c r="S66" s="196"/>
      <c r="T66" s="196"/>
      <c r="U66" s="197"/>
      <c r="V66" s="24"/>
    </row>
    <row r="67" spans="6:22" ht="6" customHeight="1" x14ac:dyDescent="0.2">
      <c r="F67" s="40"/>
      <c r="J67" s="47"/>
      <c r="K67" s="45"/>
      <c r="L67" s="46"/>
      <c r="N67" s="46"/>
      <c r="P67" s="8"/>
      <c r="Q67" s="8"/>
      <c r="R67" s="6"/>
      <c r="S67" s="6"/>
      <c r="T67" s="6"/>
      <c r="U67" s="6"/>
    </row>
    <row r="68" spans="6:22" x14ac:dyDescent="0.2">
      <c r="F68" s="14" t="s">
        <v>25</v>
      </c>
      <c r="G68" s="54">
        <v>1.5</v>
      </c>
      <c r="H68" s="16" t="s">
        <v>16</v>
      </c>
      <c r="I68" s="18">
        <f>'[1]Water_Rehab OD160_H=1.5 m'!Z17</f>
        <v>260.92873134638285</v>
      </c>
      <c r="J68" s="67">
        <f>'[1]Water_Rehab OD160_H=1.5 m'!AM17</f>
        <v>377.13790147861681</v>
      </c>
      <c r="K68" s="19">
        <f>(J68-I68)/J68</f>
        <v>0.30813442424275372</v>
      </c>
      <c r="L68" s="20">
        <f>[1]WATER_Reinstatement!$C$20</f>
        <v>167.28633975934412</v>
      </c>
      <c r="M68" s="21">
        <v>1</v>
      </c>
      <c r="N68" s="20">
        <f>J68+M68*1*L68</f>
        <v>544.42424123796093</v>
      </c>
      <c r="P68" s="189" t="s">
        <v>20</v>
      </c>
      <c r="Q68" s="190"/>
      <c r="R68" s="190"/>
      <c r="S68" s="190"/>
      <c r="T68" s="190"/>
      <c r="U68" s="191"/>
      <c r="V68" s="31"/>
    </row>
    <row r="69" spans="6:22" x14ac:dyDescent="0.2">
      <c r="F69" s="14" t="s">
        <v>25</v>
      </c>
      <c r="G69" s="54">
        <v>1.5</v>
      </c>
      <c r="H69" s="16" t="s">
        <v>17</v>
      </c>
      <c r="I69" s="20">
        <f>I68</f>
        <v>260.92873134638285</v>
      </c>
      <c r="J69" s="21">
        <f>J68</f>
        <v>377.13790147861681</v>
      </c>
      <c r="K69" s="23">
        <f>K68</f>
        <v>0.30813442424275372</v>
      </c>
      <c r="L69" s="20">
        <f>[1]WATER_Reinstatement!$P$20</f>
        <v>164.01041731565468</v>
      </c>
      <c r="M69" s="21">
        <v>1</v>
      </c>
      <c r="N69" s="20">
        <f>J69+M69*1*L69</f>
        <v>541.14831879427152</v>
      </c>
      <c r="P69" s="192"/>
      <c r="Q69" s="193"/>
      <c r="R69" s="193"/>
      <c r="S69" s="193"/>
      <c r="T69" s="193"/>
      <c r="U69" s="194"/>
      <c r="V69" s="31"/>
    </row>
    <row r="70" spans="6:22" x14ac:dyDescent="0.2">
      <c r="F70" s="14" t="s">
        <v>25</v>
      </c>
      <c r="G70" s="54">
        <v>1.5</v>
      </c>
      <c r="H70" s="16" t="s">
        <v>18</v>
      </c>
      <c r="I70" s="20">
        <f>I68</f>
        <v>260.92873134638285</v>
      </c>
      <c r="J70" s="21">
        <f>J68</f>
        <v>377.13790147861681</v>
      </c>
      <c r="K70" s="23">
        <f>K68</f>
        <v>0.30813442424275372</v>
      </c>
      <c r="L70" s="20">
        <f>[1]WATER_Reinstatement!$AA$20</f>
        <v>82.936542797695623</v>
      </c>
      <c r="M70" s="21">
        <v>1</v>
      </c>
      <c r="N70" s="20">
        <f>J70+M70*1*L70</f>
        <v>460.07444427631242</v>
      </c>
      <c r="P70" s="192"/>
      <c r="Q70" s="193"/>
      <c r="R70" s="193"/>
      <c r="S70" s="193"/>
      <c r="T70" s="193"/>
      <c r="U70" s="194"/>
      <c r="V70" s="31"/>
    </row>
    <row r="71" spans="6:22" x14ac:dyDescent="0.2">
      <c r="F71" s="14" t="s">
        <v>25</v>
      </c>
      <c r="G71" s="54">
        <v>1.5</v>
      </c>
      <c r="H71" s="16" t="s">
        <v>19</v>
      </c>
      <c r="I71" s="20">
        <f>I68</f>
        <v>260.92873134638285</v>
      </c>
      <c r="J71" s="21">
        <f>J68</f>
        <v>377.13790147861681</v>
      </c>
      <c r="K71" s="23">
        <f>K68</f>
        <v>0.30813442424275372</v>
      </c>
      <c r="L71" s="20">
        <f>[1]WATER_Reinstatement!$AL$20</f>
        <v>34.229193013075353</v>
      </c>
      <c r="M71" s="21">
        <v>1</v>
      </c>
      <c r="N71" s="20">
        <f>J71+M71*1*L71</f>
        <v>411.36709449169217</v>
      </c>
      <c r="P71" s="195"/>
      <c r="Q71" s="196"/>
      <c r="R71" s="196"/>
      <c r="S71" s="196"/>
      <c r="T71" s="196"/>
      <c r="U71" s="197"/>
      <c r="V71" s="31"/>
    </row>
    <row r="72" spans="6:22" ht="6" customHeight="1" x14ac:dyDescent="0.2">
      <c r="F72" s="25"/>
      <c r="G72" s="55"/>
      <c r="H72" s="27"/>
      <c r="I72" s="68"/>
      <c r="J72" s="69"/>
      <c r="K72" s="69"/>
      <c r="L72" s="69"/>
      <c r="M72" s="69"/>
      <c r="N72" s="69"/>
      <c r="P72" s="198"/>
      <c r="Q72" s="199"/>
      <c r="R72" s="199"/>
      <c r="S72" s="199"/>
      <c r="T72" s="199"/>
      <c r="U72" s="199"/>
      <c r="V72" s="30"/>
    </row>
    <row r="73" spans="6:22" x14ac:dyDescent="0.2">
      <c r="F73" s="14" t="s">
        <v>25</v>
      </c>
      <c r="G73" s="54">
        <v>2</v>
      </c>
      <c r="H73" s="16" t="s">
        <v>16</v>
      </c>
      <c r="I73" s="18">
        <f>'[1]Water_Rehab Net_OD160_H=2.0 m'!Z20</f>
        <v>351.17729338645967</v>
      </c>
      <c r="J73" s="67">
        <f>'[1]Water_Rehab Net_OD160_H=2.0 m'!AO20</f>
        <v>521.1162773888293</v>
      </c>
      <c r="K73" s="19">
        <f>(J73-I73)/J73</f>
        <v>0.32610569152413982</v>
      </c>
      <c r="L73" s="20">
        <f>[1]WATER_Reinstatement!$C$20</f>
        <v>167.28633975934412</v>
      </c>
      <c r="M73" s="21">
        <v>1</v>
      </c>
      <c r="N73" s="20">
        <f>J73+M73*1*L73</f>
        <v>688.40261714817348</v>
      </c>
      <c r="P73" s="18">
        <f>'[1]Water_Rehab Net_OD160_H=2.0 m'!Z19</f>
        <v>238.75403197419513</v>
      </c>
      <c r="Q73" s="67">
        <f>'[1]Water_Rehab Net_OD160_H=2.0 m'!AO19</f>
        <v>410.7456805204996</v>
      </c>
      <c r="R73" s="19">
        <f>(Q73-P73)/Q73</f>
        <v>0.41873026717738221</v>
      </c>
      <c r="S73" s="20">
        <f>[1]WATER_Reinstatement!$C$20</f>
        <v>167.28633975934412</v>
      </c>
      <c r="T73" s="21">
        <v>1</v>
      </c>
      <c r="U73" s="20">
        <f>Q73+T73*1*S73</f>
        <v>578.03202027984366</v>
      </c>
      <c r="V73" s="24"/>
    </row>
    <row r="74" spans="6:22" x14ac:dyDescent="0.2">
      <c r="F74" s="14" t="s">
        <v>25</v>
      </c>
      <c r="G74" s="54">
        <v>2</v>
      </c>
      <c r="H74" s="16" t="s">
        <v>17</v>
      </c>
      <c r="I74" s="20">
        <f>I73</f>
        <v>351.17729338645967</v>
      </c>
      <c r="J74" s="21">
        <f>J73</f>
        <v>521.1162773888293</v>
      </c>
      <c r="K74" s="23">
        <f>K73</f>
        <v>0.32610569152413982</v>
      </c>
      <c r="L74" s="20">
        <f>[1]WATER_Reinstatement!$P$20</f>
        <v>164.01041731565468</v>
      </c>
      <c r="M74" s="21">
        <v>1</v>
      </c>
      <c r="N74" s="20">
        <f>J74+M74*1*L74</f>
        <v>685.12669470448395</v>
      </c>
      <c r="P74" s="20">
        <f>P73</f>
        <v>238.75403197419513</v>
      </c>
      <c r="Q74" s="21">
        <f>Q73</f>
        <v>410.7456805204996</v>
      </c>
      <c r="R74" s="23">
        <f>R73</f>
        <v>0.41873026717738221</v>
      </c>
      <c r="S74" s="20">
        <f>[1]WATER_Reinstatement!$P$20</f>
        <v>164.01041731565468</v>
      </c>
      <c r="T74" s="21">
        <v>1</v>
      </c>
      <c r="U74" s="20">
        <f>Q74+T74*1*S74</f>
        <v>574.75609783615425</v>
      </c>
      <c r="V74" s="24"/>
    </row>
    <row r="75" spans="6:22" x14ac:dyDescent="0.2">
      <c r="F75" s="14" t="s">
        <v>25</v>
      </c>
      <c r="G75" s="54">
        <v>2</v>
      </c>
      <c r="H75" s="16" t="s">
        <v>18</v>
      </c>
      <c r="I75" s="20">
        <f>I73</f>
        <v>351.17729338645967</v>
      </c>
      <c r="J75" s="21">
        <f>J73</f>
        <v>521.1162773888293</v>
      </c>
      <c r="K75" s="23">
        <f>K73</f>
        <v>0.32610569152413982</v>
      </c>
      <c r="L75" s="20">
        <f>[1]WATER_Reinstatement!$AA$20</f>
        <v>82.936542797695623</v>
      </c>
      <c r="M75" s="21">
        <v>1</v>
      </c>
      <c r="N75" s="20">
        <f>J75+M75*1*L75</f>
        <v>604.05282018652497</v>
      </c>
      <c r="P75" s="20">
        <f>P73</f>
        <v>238.75403197419513</v>
      </c>
      <c r="Q75" s="21">
        <f>Q73</f>
        <v>410.7456805204996</v>
      </c>
      <c r="R75" s="23">
        <f>R73</f>
        <v>0.41873026717738221</v>
      </c>
      <c r="S75" s="20">
        <f>[1]WATER_Reinstatement!$AA$20</f>
        <v>82.936542797695623</v>
      </c>
      <c r="T75" s="21">
        <v>1</v>
      </c>
      <c r="U75" s="20">
        <f>Q75+T75*1*S75</f>
        <v>493.68222331819521</v>
      </c>
      <c r="V75" s="24"/>
    </row>
    <row r="76" spans="6:22" x14ac:dyDescent="0.2">
      <c r="F76" s="14" t="s">
        <v>25</v>
      </c>
      <c r="G76" s="54">
        <v>2</v>
      </c>
      <c r="H76" s="16" t="s">
        <v>19</v>
      </c>
      <c r="I76" s="20">
        <f>I73</f>
        <v>351.17729338645967</v>
      </c>
      <c r="J76" s="21">
        <f>J73</f>
        <v>521.1162773888293</v>
      </c>
      <c r="K76" s="23">
        <f>K73</f>
        <v>0.32610569152413982</v>
      </c>
      <c r="L76" s="20">
        <f>[1]WATER_Reinstatement!$AL$20</f>
        <v>34.229193013075353</v>
      </c>
      <c r="M76" s="21">
        <v>1</v>
      </c>
      <c r="N76" s="20">
        <f>J76+M76*1*L76</f>
        <v>555.34547040190466</v>
      </c>
      <c r="P76" s="20">
        <f>P73</f>
        <v>238.75403197419513</v>
      </c>
      <c r="Q76" s="21">
        <f>Q73</f>
        <v>410.7456805204996</v>
      </c>
      <c r="R76" s="23">
        <f>R73</f>
        <v>0.41873026717738221</v>
      </c>
      <c r="S76" s="20">
        <f>[1]WATER_Reinstatement!$AL$20</f>
        <v>34.229193013075353</v>
      </c>
      <c r="T76" s="21">
        <v>1</v>
      </c>
      <c r="U76" s="20">
        <f>Q76+T76*1*S76</f>
        <v>444.97487353357496</v>
      </c>
      <c r="V76" s="24"/>
    </row>
    <row r="77" spans="6:22" ht="6" customHeight="1" x14ac:dyDescent="0.2">
      <c r="F77" s="25"/>
      <c r="G77" s="55"/>
      <c r="H77" s="27"/>
      <c r="I77" s="70"/>
      <c r="J77" s="29"/>
      <c r="K77" s="28"/>
      <c r="L77" s="44"/>
      <c r="M77" s="29"/>
      <c r="N77" s="44"/>
      <c r="V77" s="30"/>
    </row>
    <row r="78" spans="6:22" x14ac:dyDescent="0.2">
      <c r="F78" s="14" t="s">
        <v>25</v>
      </c>
      <c r="G78" s="54">
        <v>2.5</v>
      </c>
      <c r="H78" s="16" t="s">
        <v>16</v>
      </c>
      <c r="I78" s="18">
        <f>'[1]Water_Rehab OD160_H=2.5 m'!AA18</f>
        <v>410.25813872527732</v>
      </c>
      <c r="J78" s="67">
        <f>'[1]Water_Rehab OD160_H=2.5 m'!AN18</f>
        <v>571.35294558985197</v>
      </c>
      <c r="K78" s="19">
        <f>(J78-I78)/J78</f>
        <v>0.28195322717425386</v>
      </c>
      <c r="L78" s="20">
        <f>[1]WATER_Reinstatement!$C$20</f>
        <v>167.28633975934412</v>
      </c>
      <c r="M78" s="21">
        <v>1</v>
      </c>
      <c r="N78" s="20">
        <f>J78+M78*1*L78</f>
        <v>738.63928534919614</v>
      </c>
      <c r="P78" s="189" t="s">
        <v>20</v>
      </c>
      <c r="Q78" s="190"/>
      <c r="R78" s="190"/>
      <c r="S78" s="190"/>
      <c r="T78" s="190"/>
      <c r="U78" s="191"/>
      <c r="V78" s="24"/>
    </row>
    <row r="79" spans="6:22" x14ac:dyDescent="0.2">
      <c r="F79" s="14" t="s">
        <v>25</v>
      </c>
      <c r="G79" s="54">
        <v>2.5</v>
      </c>
      <c r="H79" s="16" t="s">
        <v>17</v>
      </c>
      <c r="I79" s="20">
        <f>I78</f>
        <v>410.25813872527732</v>
      </c>
      <c r="J79" s="21">
        <f>J78</f>
        <v>571.35294558985197</v>
      </c>
      <c r="K79" s="23">
        <f>K78</f>
        <v>0.28195322717425386</v>
      </c>
      <c r="L79" s="20">
        <f>[1]WATER_Reinstatement!$P$20</f>
        <v>164.01041731565468</v>
      </c>
      <c r="M79" s="21">
        <v>1</v>
      </c>
      <c r="N79" s="20">
        <f>J79+M79*1*L79</f>
        <v>735.36336290550662</v>
      </c>
      <c r="P79" s="192"/>
      <c r="Q79" s="193"/>
      <c r="R79" s="193"/>
      <c r="S79" s="193"/>
      <c r="T79" s="193"/>
      <c r="U79" s="194"/>
      <c r="V79" s="24"/>
    </row>
    <row r="80" spans="6:22" x14ac:dyDescent="0.2">
      <c r="F80" s="14" t="s">
        <v>25</v>
      </c>
      <c r="G80" s="54">
        <v>2.5</v>
      </c>
      <c r="H80" s="16" t="s">
        <v>18</v>
      </c>
      <c r="I80" s="20">
        <f>I78</f>
        <v>410.25813872527732</v>
      </c>
      <c r="J80" s="21">
        <f>J78</f>
        <v>571.35294558985197</v>
      </c>
      <c r="K80" s="23">
        <f>K78</f>
        <v>0.28195322717425386</v>
      </c>
      <c r="L80" s="20">
        <f>[1]WATER_Reinstatement!$AA$20</f>
        <v>82.936542797695623</v>
      </c>
      <c r="M80" s="21">
        <v>1</v>
      </c>
      <c r="N80" s="20">
        <f>J80+M80*1*L80</f>
        <v>654.28948838754764</v>
      </c>
      <c r="P80" s="192"/>
      <c r="Q80" s="193"/>
      <c r="R80" s="193"/>
      <c r="S80" s="193"/>
      <c r="T80" s="193"/>
      <c r="U80" s="194"/>
      <c r="V80" s="24"/>
    </row>
    <row r="81" spans="6:22" x14ac:dyDescent="0.2">
      <c r="F81" s="14" t="s">
        <v>25</v>
      </c>
      <c r="G81" s="54">
        <v>2.5</v>
      </c>
      <c r="H81" s="16" t="s">
        <v>19</v>
      </c>
      <c r="I81" s="20">
        <f>I78</f>
        <v>410.25813872527732</v>
      </c>
      <c r="J81" s="21">
        <f>J78</f>
        <v>571.35294558985197</v>
      </c>
      <c r="K81" s="23">
        <f>K78</f>
        <v>0.28195322717425386</v>
      </c>
      <c r="L81" s="20">
        <f>[1]WATER_Reinstatement!$AL$20</f>
        <v>34.229193013075353</v>
      </c>
      <c r="M81" s="21">
        <v>1</v>
      </c>
      <c r="N81" s="20">
        <f>J81+M81*1*L81</f>
        <v>605.58213860292733</v>
      </c>
      <c r="P81" s="195"/>
      <c r="Q81" s="196"/>
      <c r="R81" s="196"/>
      <c r="S81" s="196"/>
      <c r="T81" s="196"/>
      <c r="U81" s="197"/>
      <c r="V81" s="24"/>
    </row>
    <row r="82" spans="6:22" ht="6" customHeight="1" x14ac:dyDescent="0.2">
      <c r="F82" s="40"/>
      <c r="J82" s="47"/>
      <c r="K82" s="45"/>
      <c r="L82" s="46"/>
      <c r="N82" s="46"/>
      <c r="P82" s="8"/>
      <c r="Q82" s="8"/>
      <c r="R82" s="6"/>
      <c r="S82" s="6"/>
      <c r="T82" s="6"/>
      <c r="U82" s="6"/>
    </row>
    <row r="83" spans="6:22" ht="14.25" customHeight="1" x14ac:dyDescent="0.2">
      <c r="F83" s="14" t="s">
        <v>28</v>
      </c>
      <c r="G83" s="54">
        <v>1.5</v>
      </c>
      <c r="H83" s="16" t="s">
        <v>16</v>
      </c>
      <c r="I83" s="18">
        <f>'[1]Water_Rehab OD200_H=1.5 m'!AA18</f>
        <v>291.66008809303537</v>
      </c>
      <c r="J83" s="67">
        <f>'[1]Water_Rehab OD200_H=1.5 m'!AM18</f>
        <v>451.9520865913147</v>
      </c>
      <c r="K83" s="19">
        <f>(J83-I83)/J83</f>
        <v>0.35466591095357874</v>
      </c>
      <c r="L83" s="20">
        <f>[1]WATER_Reinstatement!$C$20</f>
        <v>167.28633975934412</v>
      </c>
      <c r="M83" s="21">
        <v>1</v>
      </c>
      <c r="N83" s="20">
        <f>J83+M83*1*L83</f>
        <v>619.23842635065876</v>
      </c>
      <c r="P83" s="189" t="s">
        <v>20</v>
      </c>
      <c r="Q83" s="190"/>
      <c r="R83" s="190"/>
      <c r="S83" s="190"/>
      <c r="T83" s="190"/>
      <c r="U83" s="191"/>
      <c r="V83" s="71"/>
    </row>
    <row r="84" spans="6:22" x14ac:dyDescent="0.2">
      <c r="F84" s="14" t="s">
        <v>28</v>
      </c>
      <c r="G84" s="54">
        <v>1.5</v>
      </c>
      <c r="H84" s="16" t="s">
        <v>17</v>
      </c>
      <c r="I84" s="16">
        <f>I83</f>
        <v>291.66008809303537</v>
      </c>
      <c r="J84" s="21">
        <f>J83</f>
        <v>451.9520865913147</v>
      </c>
      <c r="K84" s="23">
        <f>K83</f>
        <v>0.35466591095357874</v>
      </c>
      <c r="L84" s="20">
        <f>[1]WATER_Reinstatement!$P$20</f>
        <v>164.01041731565468</v>
      </c>
      <c r="M84" s="21">
        <v>1</v>
      </c>
      <c r="N84" s="20">
        <f>J84+M84*1*L84</f>
        <v>615.96250390696935</v>
      </c>
      <c r="P84" s="192"/>
      <c r="Q84" s="193"/>
      <c r="R84" s="193"/>
      <c r="S84" s="193"/>
      <c r="T84" s="193"/>
      <c r="U84" s="194"/>
      <c r="V84" s="71"/>
    </row>
    <row r="85" spans="6:22" x14ac:dyDescent="0.2">
      <c r="F85" s="14" t="s">
        <v>28</v>
      </c>
      <c r="G85" s="54">
        <v>1.5</v>
      </c>
      <c r="H85" s="16" t="s">
        <v>18</v>
      </c>
      <c r="I85" s="16">
        <f>I83</f>
        <v>291.66008809303537</v>
      </c>
      <c r="J85" s="21">
        <f>J83</f>
        <v>451.9520865913147</v>
      </c>
      <c r="K85" s="23">
        <f>K83</f>
        <v>0.35466591095357874</v>
      </c>
      <c r="L85" s="20">
        <f>[1]WATER_Reinstatement!$AA$20</f>
        <v>82.936542797695623</v>
      </c>
      <c r="M85" s="21">
        <v>1</v>
      </c>
      <c r="N85" s="20">
        <f>J85+M85*1*L85</f>
        <v>534.88862938901036</v>
      </c>
      <c r="P85" s="192"/>
      <c r="Q85" s="193"/>
      <c r="R85" s="193"/>
      <c r="S85" s="193"/>
      <c r="T85" s="193"/>
      <c r="U85" s="194"/>
      <c r="V85" s="71"/>
    </row>
    <row r="86" spans="6:22" x14ac:dyDescent="0.2">
      <c r="F86" s="14" t="s">
        <v>28</v>
      </c>
      <c r="G86" s="54">
        <v>1.5</v>
      </c>
      <c r="H86" s="16" t="s">
        <v>19</v>
      </c>
      <c r="I86" s="16">
        <f>I83</f>
        <v>291.66008809303537</v>
      </c>
      <c r="J86" s="21">
        <f>J83</f>
        <v>451.9520865913147</v>
      </c>
      <c r="K86" s="23">
        <f>K83</f>
        <v>0.35466591095357874</v>
      </c>
      <c r="L86" s="20">
        <f>[1]WATER_Reinstatement!$AL$20</f>
        <v>34.229193013075353</v>
      </c>
      <c r="M86" s="21">
        <v>1</v>
      </c>
      <c r="N86" s="20">
        <f>J86+M86*1*L86</f>
        <v>486.18127960439006</v>
      </c>
      <c r="P86" s="195"/>
      <c r="Q86" s="196"/>
      <c r="R86" s="196"/>
      <c r="S86" s="196"/>
      <c r="T86" s="196"/>
      <c r="U86" s="197"/>
      <c r="V86" s="71"/>
    </row>
    <row r="87" spans="6:22" ht="6" customHeight="1" x14ac:dyDescent="0.2">
      <c r="F87" s="25"/>
      <c r="G87" s="55"/>
      <c r="H87" s="27"/>
      <c r="I87" s="27"/>
      <c r="J87" s="29"/>
      <c r="K87" s="28"/>
      <c r="L87" s="44"/>
      <c r="M87" s="29"/>
      <c r="N87" s="44"/>
      <c r="P87" s="8"/>
      <c r="Q87" s="8"/>
      <c r="R87" s="6"/>
      <c r="S87" s="6"/>
      <c r="T87" s="6"/>
      <c r="U87" s="6"/>
      <c r="V87" s="30"/>
    </row>
    <row r="88" spans="6:22" x14ac:dyDescent="0.2">
      <c r="F88" s="14" t="s">
        <v>28</v>
      </c>
      <c r="G88" s="54">
        <v>2</v>
      </c>
      <c r="H88" s="16" t="s">
        <v>16</v>
      </c>
      <c r="I88" s="18">
        <f>'[1]Water_Rehab OD200_H=2.0 m'!Z18</f>
        <v>309.36136857845918</v>
      </c>
      <c r="J88" s="67">
        <f>'[1]Water_Rehab OD200_H=2.0 m'!AL18</f>
        <v>495.76850715714272</v>
      </c>
      <c r="K88" s="19">
        <f>(J88-I88)/J88</f>
        <v>0.37599632870507937</v>
      </c>
      <c r="L88" s="20">
        <f>[1]WATER_Reinstatement!$C$20</f>
        <v>167.28633975934412</v>
      </c>
      <c r="M88" s="21">
        <v>1</v>
      </c>
      <c r="N88" s="20">
        <f>J88+M88*1*L88</f>
        <v>663.05484691648689</v>
      </c>
      <c r="P88" s="189" t="s">
        <v>20</v>
      </c>
      <c r="Q88" s="190"/>
      <c r="R88" s="190"/>
      <c r="S88" s="190"/>
      <c r="T88" s="190"/>
      <c r="U88" s="191"/>
      <c r="V88" s="24"/>
    </row>
    <row r="89" spans="6:22" x14ac:dyDescent="0.2">
      <c r="F89" s="14" t="s">
        <v>28</v>
      </c>
      <c r="G89" s="54">
        <v>2</v>
      </c>
      <c r="H89" s="16" t="s">
        <v>17</v>
      </c>
      <c r="I89" s="20">
        <f>I88</f>
        <v>309.36136857845918</v>
      </c>
      <c r="J89" s="21">
        <f>J88</f>
        <v>495.76850715714272</v>
      </c>
      <c r="K89" s="23">
        <f>K88</f>
        <v>0.37599632870507937</v>
      </c>
      <c r="L89" s="20">
        <f>[1]WATER_Reinstatement!$P$20</f>
        <v>164.01041731565468</v>
      </c>
      <c r="M89" s="21">
        <v>1</v>
      </c>
      <c r="N89" s="20">
        <f>J89+M89*1*L89</f>
        <v>659.77892447279737</v>
      </c>
      <c r="P89" s="192"/>
      <c r="Q89" s="193"/>
      <c r="R89" s="193"/>
      <c r="S89" s="193"/>
      <c r="T89" s="193"/>
      <c r="U89" s="194"/>
      <c r="V89" s="24"/>
    </row>
    <row r="90" spans="6:22" x14ac:dyDescent="0.2">
      <c r="F90" s="14" t="s">
        <v>28</v>
      </c>
      <c r="G90" s="54">
        <v>2</v>
      </c>
      <c r="H90" s="16" t="s">
        <v>18</v>
      </c>
      <c r="I90" s="20">
        <f>I88</f>
        <v>309.36136857845918</v>
      </c>
      <c r="J90" s="21">
        <f>J88</f>
        <v>495.76850715714272</v>
      </c>
      <c r="K90" s="23">
        <f>K88</f>
        <v>0.37599632870507937</v>
      </c>
      <c r="L90" s="20">
        <f>[1]WATER_Reinstatement!$AA$20</f>
        <v>82.936542797695623</v>
      </c>
      <c r="M90" s="21">
        <v>1</v>
      </c>
      <c r="N90" s="20">
        <f>J90+M90*1*L90</f>
        <v>578.70504995483839</v>
      </c>
      <c r="P90" s="192"/>
      <c r="Q90" s="193"/>
      <c r="R90" s="193"/>
      <c r="S90" s="193"/>
      <c r="T90" s="193"/>
      <c r="U90" s="194"/>
      <c r="V90" s="24"/>
    </row>
    <row r="91" spans="6:22" x14ac:dyDescent="0.2">
      <c r="F91" s="14" t="s">
        <v>28</v>
      </c>
      <c r="G91" s="54">
        <v>2</v>
      </c>
      <c r="H91" s="16" t="s">
        <v>19</v>
      </c>
      <c r="I91" s="20">
        <f>I88</f>
        <v>309.36136857845918</v>
      </c>
      <c r="J91" s="21">
        <f>J88</f>
        <v>495.76850715714272</v>
      </c>
      <c r="K91" s="23">
        <f>K88</f>
        <v>0.37599632870507937</v>
      </c>
      <c r="L91" s="20">
        <f>[1]WATER_Reinstatement!$AL$20</f>
        <v>34.229193013075353</v>
      </c>
      <c r="M91" s="21">
        <v>1</v>
      </c>
      <c r="N91" s="20">
        <f>J91+M91*1*L91</f>
        <v>529.99770017021808</v>
      </c>
      <c r="P91" s="195"/>
      <c r="Q91" s="196"/>
      <c r="R91" s="196"/>
      <c r="S91" s="196"/>
      <c r="T91" s="196"/>
      <c r="U91" s="197"/>
      <c r="V91" s="24"/>
    </row>
    <row r="92" spans="6:22" ht="6" customHeight="1" x14ac:dyDescent="0.2">
      <c r="F92" s="25"/>
      <c r="G92" s="55"/>
      <c r="H92" s="27"/>
      <c r="I92" s="27"/>
      <c r="J92" s="29"/>
      <c r="K92" s="28"/>
      <c r="L92" s="44"/>
      <c r="M92" s="29"/>
      <c r="N92" s="44"/>
      <c r="P92" s="8"/>
      <c r="Q92" s="8"/>
      <c r="R92" s="6"/>
      <c r="S92" s="6"/>
      <c r="T92" s="6"/>
      <c r="U92" s="6"/>
      <c r="V92" s="30"/>
    </row>
    <row r="93" spans="6:22" x14ac:dyDescent="0.2">
      <c r="F93" s="14" t="s">
        <v>28</v>
      </c>
      <c r="G93" s="54">
        <v>2.5</v>
      </c>
      <c r="H93" s="16" t="s">
        <v>16</v>
      </c>
      <c r="I93" s="18">
        <f>'[1]Water_Rehab OD200_H=2.5 m'!Y19</f>
        <v>520.36415727336578</v>
      </c>
      <c r="J93" s="67">
        <f>'[1]Water_Rehab OD200_H=2.5 m'!AL18</f>
        <v>562.24995014018498</v>
      </c>
      <c r="K93" s="19">
        <f>(J93-I93)/J93</f>
        <v>7.4496748032393562E-2</v>
      </c>
      <c r="L93" s="20">
        <f>[1]WATER_Reinstatement!$C$20</f>
        <v>167.28633975934412</v>
      </c>
      <c r="M93" s="21">
        <v>1</v>
      </c>
      <c r="N93" s="20">
        <f>J93+M93*1*L93</f>
        <v>729.53628989952904</v>
      </c>
      <c r="P93" s="189" t="s">
        <v>20</v>
      </c>
      <c r="Q93" s="190"/>
      <c r="R93" s="190"/>
      <c r="S93" s="190"/>
      <c r="T93" s="190"/>
      <c r="U93" s="191"/>
      <c r="V93" s="24"/>
    </row>
    <row r="94" spans="6:22" x14ac:dyDescent="0.2">
      <c r="F94" s="14" t="s">
        <v>28</v>
      </c>
      <c r="G94" s="54">
        <v>2.5</v>
      </c>
      <c r="H94" s="16" t="s">
        <v>17</v>
      </c>
      <c r="I94" s="20">
        <f>I93</f>
        <v>520.36415727336578</v>
      </c>
      <c r="J94" s="21">
        <f>J93</f>
        <v>562.24995014018498</v>
      </c>
      <c r="K94" s="23">
        <f>K93</f>
        <v>7.4496748032393562E-2</v>
      </c>
      <c r="L94" s="20">
        <f>[1]WATER_Reinstatement!$P$20</f>
        <v>164.01041731565468</v>
      </c>
      <c r="M94" s="21">
        <v>1</v>
      </c>
      <c r="N94" s="20">
        <f>J94+M94*1*L94</f>
        <v>726.26036745583963</v>
      </c>
      <c r="P94" s="192"/>
      <c r="Q94" s="193"/>
      <c r="R94" s="193"/>
      <c r="S94" s="193"/>
      <c r="T94" s="193"/>
      <c r="U94" s="194"/>
      <c r="V94" s="24"/>
    </row>
    <row r="95" spans="6:22" x14ac:dyDescent="0.2">
      <c r="F95" s="14" t="s">
        <v>28</v>
      </c>
      <c r="G95" s="54">
        <v>2.5</v>
      </c>
      <c r="H95" s="16" t="s">
        <v>18</v>
      </c>
      <c r="I95" s="20">
        <f>I93</f>
        <v>520.36415727336578</v>
      </c>
      <c r="J95" s="21">
        <f>J93</f>
        <v>562.24995014018498</v>
      </c>
      <c r="K95" s="23">
        <f>K93</f>
        <v>7.4496748032393562E-2</v>
      </c>
      <c r="L95" s="20">
        <f>[1]WATER_Reinstatement!$AA$20</f>
        <v>82.936542797695623</v>
      </c>
      <c r="M95" s="21">
        <v>1</v>
      </c>
      <c r="N95" s="20">
        <f>J95+M95*1*L95</f>
        <v>645.18649293788064</v>
      </c>
      <c r="P95" s="192"/>
      <c r="Q95" s="193"/>
      <c r="R95" s="193"/>
      <c r="S95" s="193"/>
      <c r="T95" s="193"/>
      <c r="U95" s="194"/>
      <c r="V95" s="24"/>
    </row>
    <row r="96" spans="6:22" x14ac:dyDescent="0.2">
      <c r="F96" s="14" t="s">
        <v>28</v>
      </c>
      <c r="G96" s="54">
        <v>2.5</v>
      </c>
      <c r="H96" s="16" t="s">
        <v>19</v>
      </c>
      <c r="I96" s="20">
        <f>I93</f>
        <v>520.36415727336578</v>
      </c>
      <c r="J96" s="21">
        <f>J93</f>
        <v>562.24995014018498</v>
      </c>
      <c r="K96" s="23">
        <f>K93</f>
        <v>7.4496748032393562E-2</v>
      </c>
      <c r="L96" s="20">
        <f>[1]WATER_Reinstatement!$AL$20</f>
        <v>34.229193013075353</v>
      </c>
      <c r="M96" s="21">
        <v>1</v>
      </c>
      <c r="N96" s="20">
        <f>J96+M96*1*L96</f>
        <v>596.47914315326034</v>
      </c>
      <c r="O96" s="72"/>
      <c r="P96" s="195"/>
      <c r="Q96" s="196"/>
      <c r="R96" s="196"/>
      <c r="S96" s="196"/>
      <c r="T96" s="196"/>
      <c r="U96" s="197"/>
      <c r="V96" s="24"/>
    </row>
    <row r="97" spans="11:14" x14ac:dyDescent="0.2">
      <c r="K97" s="49"/>
      <c r="L97" s="46"/>
      <c r="N97" s="46"/>
    </row>
    <row r="98" spans="11:14" x14ac:dyDescent="0.2">
      <c r="K98" s="49"/>
      <c r="N98" s="46"/>
    </row>
    <row r="99" spans="11:14" x14ac:dyDescent="0.2">
      <c r="K99" s="49"/>
      <c r="N99" s="46"/>
    </row>
    <row r="100" spans="11:14" x14ac:dyDescent="0.2">
      <c r="K100" s="49"/>
    </row>
    <row r="101" spans="11:14" x14ac:dyDescent="0.2">
      <c r="K101" s="49"/>
    </row>
    <row r="102" spans="11:14" x14ac:dyDescent="0.2">
      <c r="K102" s="49"/>
    </row>
    <row r="103" spans="11:14" x14ac:dyDescent="0.2">
      <c r="K103" s="49"/>
    </row>
    <row r="104" spans="11:14" x14ac:dyDescent="0.2">
      <c r="K104" s="49"/>
    </row>
    <row r="105" spans="11:14" x14ac:dyDescent="0.2">
      <c r="K105" s="49"/>
    </row>
    <row r="106" spans="11:14" x14ac:dyDescent="0.2">
      <c r="K106" s="49"/>
    </row>
    <row r="107" spans="11:14" x14ac:dyDescent="0.2">
      <c r="K107" s="49"/>
    </row>
    <row r="108" spans="11:14" x14ac:dyDescent="0.2">
      <c r="K108" s="49"/>
    </row>
    <row r="109" spans="11:14" x14ac:dyDescent="0.2">
      <c r="K109" s="49"/>
    </row>
    <row r="110" spans="11:14" x14ac:dyDescent="0.2">
      <c r="K110" s="49"/>
    </row>
    <row r="111" spans="11:14" x14ac:dyDescent="0.2">
      <c r="K111" s="49"/>
    </row>
    <row r="112" spans="11:14" x14ac:dyDescent="0.2">
      <c r="K112" s="49"/>
    </row>
    <row r="113" spans="11:11" x14ac:dyDescent="0.2">
      <c r="K113" s="49"/>
    </row>
    <row r="114" spans="11:11" x14ac:dyDescent="0.2">
      <c r="K114" s="49"/>
    </row>
    <row r="115" spans="11:11" x14ac:dyDescent="0.2">
      <c r="K115" s="49"/>
    </row>
    <row r="116" spans="11:11" x14ac:dyDescent="0.2">
      <c r="K116" s="49"/>
    </row>
    <row r="117" spans="11:11" x14ac:dyDescent="0.2">
      <c r="K117" s="49"/>
    </row>
    <row r="118" spans="11:11" x14ac:dyDescent="0.2">
      <c r="K118" s="49"/>
    </row>
    <row r="119" spans="11:11" x14ac:dyDescent="0.2">
      <c r="K119" s="49"/>
    </row>
    <row r="120" spans="11:11" x14ac:dyDescent="0.2">
      <c r="K120" s="49"/>
    </row>
    <row r="121" spans="11:11" x14ac:dyDescent="0.2">
      <c r="K121" s="49"/>
    </row>
    <row r="122" spans="11:11" x14ac:dyDescent="0.2">
      <c r="K122" s="49"/>
    </row>
    <row r="123" spans="11:11" x14ac:dyDescent="0.2">
      <c r="K123" s="49"/>
    </row>
    <row r="124" spans="11:11" x14ac:dyDescent="0.2">
      <c r="K124" s="49"/>
    </row>
    <row r="125" spans="11:11" x14ac:dyDescent="0.2">
      <c r="K125" s="49"/>
    </row>
    <row r="126" spans="11:11" x14ac:dyDescent="0.2">
      <c r="K126" s="49"/>
    </row>
    <row r="127" spans="11:11" x14ac:dyDescent="0.2">
      <c r="K127" s="49"/>
    </row>
    <row r="128" spans="11:11" x14ac:dyDescent="0.2">
      <c r="K128" s="49"/>
    </row>
    <row r="129" spans="11:11" x14ac:dyDescent="0.2">
      <c r="K129" s="49"/>
    </row>
    <row r="130" spans="11:11" x14ac:dyDescent="0.2">
      <c r="K130" s="49"/>
    </row>
    <row r="131" spans="11:11" x14ac:dyDescent="0.2">
      <c r="K131" s="49"/>
    </row>
    <row r="132" spans="11:11" x14ac:dyDescent="0.2">
      <c r="K132" s="49"/>
    </row>
  </sheetData>
  <mergeCells count="33">
    <mergeCell ref="V38:V41"/>
    <mergeCell ref="I42:N42"/>
    <mergeCell ref="P42:U42"/>
    <mergeCell ref="P93:U96"/>
    <mergeCell ref="V48:V51"/>
    <mergeCell ref="I53:N56"/>
    <mergeCell ref="P53:U56"/>
    <mergeCell ref="I58:N61"/>
    <mergeCell ref="P58:U61"/>
    <mergeCell ref="I63:N66"/>
    <mergeCell ref="P63:U66"/>
    <mergeCell ref="P68:U71"/>
    <mergeCell ref="P72:U72"/>
    <mergeCell ref="P78:U81"/>
    <mergeCell ref="P83:U86"/>
    <mergeCell ref="P88:U91"/>
    <mergeCell ref="I47:N47"/>
    <mergeCell ref="P47:U47"/>
    <mergeCell ref="I18:N21"/>
    <mergeCell ref="P18:U21"/>
    <mergeCell ref="P23:U26"/>
    <mergeCell ref="P28:U31"/>
    <mergeCell ref="P33:U36"/>
    <mergeCell ref="I37:N37"/>
    <mergeCell ref="P37:U37"/>
    <mergeCell ref="V33:V36"/>
    <mergeCell ref="F1:H5"/>
    <mergeCell ref="N3:P4"/>
    <mergeCell ref="I6:N6"/>
    <mergeCell ref="P6:U6"/>
    <mergeCell ref="P8:U11"/>
    <mergeCell ref="I13:N16"/>
    <mergeCell ref="P13:U16"/>
  </mergeCells>
  <pageMargins left="0.7" right="0.7" top="0.75" bottom="0.75" header="0.3" footer="0.3"/>
  <pageSetup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A98"/>
  <sheetViews>
    <sheetView zoomScale="87" zoomScaleNormal="87" workbookViewId="0">
      <selection activeCell="D23" sqref="D23"/>
    </sheetView>
  </sheetViews>
  <sheetFormatPr baseColWidth="10" defaultColWidth="8.83203125" defaultRowHeight="15" x14ac:dyDescent="0.2"/>
  <cols>
    <col min="1" max="1" width="17.33203125" bestFit="1" customWidth="1"/>
    <col min="6" max="6" width="10.6640625" customWidth="1"/>
    <col min="7" max="7" width="7.1640625" style="50" customWidth="1"/>
    <col min="8" max="8" width="11.33203125" customWidth="1"/>
    <col min="9" max="9" width="7.83203125" bestFit="1" customWidth="1"/>
    <col min="10" max="10" width="10.6640625" customWidth="1"/>
    <col min="11" max="11" width="10.1640625" bestFit="1" customWidth="1"/>
    <col min="12" max="12" width="10" customWidth="1"/>
    <col min="13" max="13" width="7.83203125" style="47" customWidth="1"/>
    <col min="14" max="14" width="10" customWidth="1"/>
    <col min="15" max="15" width="1" customWidth="1"/>
    <col min="16" max="16" width="9" bestFit="1" customWidth="1"/>
    <col min="17" max="17" width="9.33203125" bestFit="1" customWidth="1"/>
    <col min="18" max="19" width="9.5" customWidth="1"/>
    <col min="20" max="20" width="7.83203125" customWidth="1"/>
    <col min="21" max="21" width="10.1640625" customWidth="1"/>
    <col min="22" max="22" width="21.1640625" customWidth="1"/>
  </cols>
  <sheetData>
    <row r="1" spans="1:27" x14ac:dyDescent="0.2">
      <c r="E1" s="2"/>
      <c r="F1" s="173" t="s">
        <v>35</v>
      </c>
      <c r="G1" s="173"/>
      <c r="H1" s="173"/>
      <c r="I1" s="4"/>
      <c r="J1" s="4"/>
      <c r="K1" s="4"/>
      <c r="L1" s="4"/>
      <c r="M1" s="5"/>
      <c r="N1" s="4"/>
      <c r="O1" s="4"/>
      <c r="P1" s="4"/>
      <c r="Q1" s="4"/>
      <c r="R1" s="4"/>
      <c r="S1" s="4"/>
      <c r="T1" s="4"/>
      <c r="U1" s="4"/>
      <c r="V1" s="7"/>
    </row>
    <row r="2" spans="1:27" x14ac:dyDescent="0.2">
      <c r="E2" s="2"/>
      <c r="F2" s="173"/>
      <c r="G2" s="173"/>
      <c r="H2" s="173"/>
      <c r="I2" s="4"/>
      <c r="J2" s="4"/>
      <c r="K2" s="216" t="s">
        <v>36</v>
      </c>
      <c r="L2" s="4"/>
      <c r="M2" s="5"/>
      <c r="N2" s="175" t="s">
        <v>37</v>
      </c>
      <c r="O2" s="175"/>
      <c r="P2" s="175"/>
      <c r="Q2" s="4"/>
      <c r="R2" s="4"/>
      <c r="S2" s="4"/>
      <c r="T2" s="4"/>
      <c r="U2" s="4"/>
      <c r="V2" s="7"/>
    </row>
    <row r="3" spans="1:27" ht="14.25" customHeight="1" x14ac:dyDescent="0.2">
      <c r="E3" s="2"/>
      <c r="F3" s="173"/>
      <c r="G3" s="173"/>
      <c r="H3" s="173"/>
      <c r="I3" s="4"/>
      <c r="J3" s="4"/>
      <c r="K3" s="216"/>
      <c r="L3" s="4"/>
      <c r="M3" s="5"/>
      <c r="N3" s="175"/>
      <c r="O3" s="175"/>
      <c r="P3" s="175"/>
      <c r="Q3" s="4"/>
      <c r="R3" s="4"/>
      <c r="S3" s="4"/>
      <c r="T3" s="4"/>
      <c r="U3" s="4"/>
      <c r="V3" s="7"/>
    </row>
    <row r="4" spans="1:27" ht="14.25" customHeight="1" x14ac:dyDescent="0.2">
      <c r="E4" s="2"/>
      <c r="F4" s="173"/>
      <c r="G4" s="173"/>
      <c r="H4" s="173"/>
      <c r="I4" s="4"/>
      <c r="J4" s="4"/>
      <c r="K4" s="4"/>
      <c r="L4" s="4"/>
      <c r="M4" s="5"/>
      <c r="N4" s="4"/>
      <c r="O4" s="4"/>
      <c r="P4" s="4"/>
      <c r="Q4" s="4"/>
      <c r="R4" s="4"/>
      <c r="S4" s="4"/>
      <c r="T4" s="4"/>
      <c r="U4" s="4"/>
      <c r="V4" s="7"/>
    </row>
    <row r="5" spans="1:27" x14ac:dyDescent="0.2">
      <c r="E5" s="2"/>
      <c r="F5" s="215"/>
      <c r="G5" s="215"/>
      <c r="H5" s="215"/>
      <c r="I5" s="217" t="s">
        <v>2</v>
      </c>
      <c r="J5" s="218"/>
      <c r="K5" s="218"/>
      <c r="L5" s="218"/>
      <c r="M5" s="218"/>
      <c r="N5" s="219"/>
      <c r="O5" s="73"/>
      <c r="P5" s="217" t="s">
        <v>30</v>
      </c>
      <c r="Q5" s="218"/>
      <c r="R5" s="218"/>
      <c r="S5" s="218"/>
      <c r="T5" s="218"/>
      <c r="U5" s="219"/>
      <c r="V5" s="3"/>
    </row>
    <row r="6" spans="1:27" ht="74.25" customHeight="1" x14ac:dyDescent="0.2">
      <c r="F6" s="12" t="s">
        <v>4</v>
      </c>
      <c r="G6" s="13" t="s">
        <v>5</v>
      </c>
      <c r="H6" s="12" t="s">
        <v>6</v>
      </c>
      <c r="I6" s="12" t="s">
        <v>7</v>
      </c>
      <c r="J6" s="12" t="s">
        <v>8</v>
      </c>
      <c r="K6" s="12" t="s">
        <v>9</v>
      </c>
      <c r="L6" s="12" t="s">
        <v>38</v>
      </c>
      <c r="M6" s="12" t="s">
        <v>39</v>
      </c>
      <c r="N6" s="12" t="s">
        <v>12</v>
      </c>
      <c r="O6" s="12"/>
      <c r="P6" s="12" t="s">
        <v>7</v>
      </c>
      <c r="Q6" s="12" t="s">
        <v>8</v>
      </c>
      <c r="R6" s="12" t="s">
        <v>9</v>
      </c>
      <c r="S6" s="12" t="s">
        <v>38</v>
      </c>
      <c r="T6" s="12" t="s">
        <v>39</v>
      </c>
      <c r="U6" s="12" t="s">
        <v>12</v>
      </c>
      <c r="V6" s="12" t="s">
        <v>14</v>
      </c>
    </row>
    <row r="7" spans="1:27" x14ac:dyDescent="0.2">
      <c r="F7" s="74" t="s">
        <v>40</v>
      </c>
      <c r="G7" s="54">
        <v>1.5</v>
      </c>
      <c r="H7" s="16" t="s">
        <v>16</v>
      </c>
      <c r="I7" s="67">
        <f>'[1]Sew_New_PVC_Dn250_H=1.5 m'!Y15</f>
        <v>359.82361462823815</v>
      </c>
      <c r="J7" s="67">
        <f>'[1]Sew_New_PVC_Dn250_H=1.5 m'!AQ16</f>
        <v>460.84829748824859</v>
      </c>
      <c r="K7" s="75">
        <f>(J7-I7)/J7</f>
        <v>0.21921461663333264</v>
      </c>
      <c r="L7" s="76">
        <f>[1]SEWERAGE_Reinstatement!$D$18</f>
        <v>174.76598165888828</v>
      </c>
      <c r="M7" s="21">
        <v>1.2</v>
      </c>
      <c r="N7" s="20">
        <f>J7+M7*1*L7</f>
        <v>670.5674754789145</v>
      </c>
      <c r="O7" s="20"/>
      <c r="P7" s="18">
        <f>'[1]Sew_New_PVC_Dn250_H=1.5 m'!Y14</f>
        <v>173.84832297654842</v>
      </c>
      <c r="Q7" s="18">
        <f>'[1]Sew_New_PVC_Dn250_H=1.5 m'!AQ15</f>
        <v>246.02051636390308</v>
      </c>
      <c r="R7" s="75">
        <f>(Q7-P7)/Q7</f>
        <v>0.29335843389825517</v>
      </c>
      <c r="S7" s="76">
        <f>[1]SEWERAGE_Reinstatement!$D$18</f>
        <v>174.76598165888828</v>
      </c>
      <c r="T7" s="21">
        <v>1.2</v>
      </c>
      <c r="U7" s="20">
        <f>Q7+T7*1*S7</f>
        <v>455.739694354569</v>
      </c>
      <c r="V7" s="22"/>
      <c r="Z7" s="1"/>
      <c r="AA7" s="1"/>
    </row>
    <row r="8" spans="1:27" x14ac:dyDescent="0.2">
      <c r="F8" s="74" t="s">
        <v>40</v>
      </c>
      <c r="G8" s="54">
        <v>1.5</v>
      </c>
      <c r="H8" s="16" t="s">
        <v>17</v>
      </c>
      <c r="I8" s="21">
        <f>I7</f>
        <v>359.82361462823815</v>
      </c>
      <c r="J8" s="21">
        <f>J7</f>
        <v>460.84829748824859</v>
      </c>
      <c r="K8" s="77">
        <f>K7</f>
        <v>0.21921461663333264</v>
      </c>
      <c r="L8" s="76">
        <f>[1]SEWERAGE_Reinstatement!$Q$18</f>
        <v>173.73799860249881</v>
      </c>
      <c r="M8" s="21">
        <v>1.2</v>
      </c>
      <c r="N8" s="20">
        <f t="shared" ref="N8:N10" si="0">J8+M8*1*L8</f>
        <v>669.3338958112472</v>
      </c>
      <c r="O8" s="20"/>
      <c r="P8" s="20">
        <f>P7</f>
        <v>173.84832297654842</v>
      </c>
      <c r="Q8" s="20">
        <f>Q7</f>
        <v>246.02051636390308</v>
      </c>
      <c r="R8" s="77">
        <f t="shared" ref="R8:R15" si="1">(Q8-P8)/Q8</f>
        <v>0.29335843389825517</v>
      </c>
      <c r="S8" s="76">
        <f>[1]SEWERAGE_Reinstatement!$Q$18</f>
        <v>173.73799860249881</v>
      </c>
      <c r="T8" s="21">
        <v>1.2</v>
      </c>
      <c r="U8" s="20">
        <f t="shared" ref="U8:U10" si="2">Q8+T8*1*S8</f>
        <v>454.50611468690164</v>
      </c>
      <c r="V8" s="24"/>
      <c r="Z8" s="78"/>
      <c r="AA8" s="1"/>
    </row>
    <row r="9" spans="1:27" x14ac:dyDescent="0.2">
      <c r="A9" s="151"/>
      <c r="F9" s="74" t="s">
        <v>40</v>
      </c>
      <c r="G9" s="54">
        <v>1.5</v>
      </c>
      <c r="H9" s="16" t="s">
        <v>18</v>
      </c>
      <c r="I9" s="21">
        <f>I7</f>
        <v>359.82361462823815</v>
      </c>
      <c r="J9" s="21">
        <f>J7</f>
        <v>460.84829748824859</v>
      </c>
      <c r="K9" s="77">
        <f>K7</f>
        <v>0.21921461663333264</v>
      </c>
      <c r="L9" s="76">
        <f>[1]SEWERAGE_Reinstatement!$AD$18</f>
        <v>73.219438056153251</v>
      </c>
      <c r="M9" s="21">
        <v>1.2</v>
      </c>
      <c r="N9" s="20">
        <f t="shared" si="0"/>
        <v>548.71162315563254</v>
      </c>
      <c r="O9" s="20"/>
      <c r="P9" s="20">
        <f>P7</f>
        <v>173.84832297654842</v>
      </c>
      <c r="Q9" s="20">
        <f>Q7</f>
        <v>246.02051636390308</v>
      </c>
      <c r="R9" s="77">
        <f t="shared" si="1"/>
        <v>0.29335843389825517</v>
      </c>
      <c r="S9" s="76">
        <f>[1]SEWERAGE_Reinstatement!$AD$18</f>
        <v>73.219438056153251</v>
      </c>
      <c r="T9" s="21">
        <v>1.2</v>
      </c>
      <c r="U9" s="20">
        <f t="shared" si="2"/>
        <v>333.88384203128697</v>
      </c>
      <c r="V9" s="24"/>
      <c r="Z9" s="78"/>
      <c r="AA9" s="1"/>
    </row>
    <row r="10" spans="1:27" x14ac:dyDescent="0.2">
      <c r="F10" s="74" t="s">
        <v>40</v>
      </c>
      <c r="G10" s="54">
        <v>1.5</v>
      </c>
      <c r="H10" s="16" t="s">
        <v>19</v>
      </c>
      <c r="I10" s="21">
        <f>I7</f>
        <v>359.82361462823815</v>
      </c>
      <c r="J10" s="21">
        <f>J7</f>
        <v>460.84829748824859</v>
      </c>
      <c r="K10" s="77">
        <f>K7</f>
        <v>0.21921461663333264</v>
      </c>
      <c r="L10" s="76">
        <f>[1]SEWERAGE_Reinstatement!$AQ$18</f>
        <v>47.718076944013582</v>
      </c>
      <c r="M10" s="21">
        <v>1.2</v>
      </c>
      <c r="N10" s="20">
        <f t="shared" si="0"/>
        <v>518.10998982106491</v>
      </c>
      <c r="O10" s="20"/>
      <c r="P10" s="20">
        <f>P7</f>
        <v>173.84832297654842</v>
      </c>
      <c r="Q10" s="20">
        <f>Q7</f>
        <v>246.02051636390308</v>
      </c>
      <c r="R10" s="77">
        <f t="shared" si="1"/>
        <v>0.29335843389825517</v>
      </c>
      <c r="S10" s="76">
        <f>[1]SEWERAGE_Reinstatement!$AQ$18</f>
        <v>47.718076944013582</v>
      </c>
      <c r="T10" s="21">
        <v>1.2</v>
      </c>
      <c r="U10" s="20">
        <f t="shared" si="2"/>
        <v>303.28220869671941</v>
      </c>
      <c r="V10" s="24"/>
      <c r="Z10" s="78"/>
      <c r="AA10" s="1"/>
    </row>
    <row r="11" spans="1:27" ht="6" customHeight="1" x14ac:dyDescent="0.2">
      <c r="F11" s="79"/>
      <c r="G11" s="55"/>
      <c r="H11" s="27"/>
      <c r="I11" s="29"/>
      <c r="J11" s="29"/>
      <c r="K11" s="80"/>
      <c r="L11" s="27"/>
      <c r="M11" s="29"/>
      <c r="N11" s="44"/>
      <c r="O11" s="44"/>
      <c r="P11" s="44"/>
      <c r="Q11" s="44"/>
      <c r="R11" s="44"/>
      <c r="S11" s="44"/>
      <c r="T11" s="44"/>
      <c r="U11" s="44"/>
      <c r="V11" s="30"/>
      <c r="Z11" s="78"/>
      <c r="AA11" s="1"/>
    </row>
    <row r="12" spans="1:27" x14ac:dyDescent="0.2">
      <c r="A12" s="152">
        <v>15</v>
      </c>
      <c r="B12" t="s">
        <v>132</v>
      </c>
      <c r="F12" s="74" t="s">
        <v>40</v>
      </c>
      <c r="G12" s="81">
        <v>2</v>
      </c>
      <c r="H12" s="16" t="s">
        <v>16</v>
      </c>
      <c r="I12" s="67">
        <f>'[1]Sew_New_PVC_Dn250_H=2.0 m'!Z15</f>
        <v>388.41390488774215</v>
      </c>
      <c r="J12" s="67">
        <f>'[1]Sew_New_PVC_Dn250_H=2.0 m'!AT15</f>
        <v>503.71790288363741</v>
      </c>
      <c r="K12" s="75">
        <f>(J12-I12)/J12</f>
        <v>0.22890589620859941</v>
      </c>
      <c r="L12" s="76">
        <f>[1]SEWERAGE_Reinstatement!$D$18</f>
        <v>174.76598165888828</v>
      </c>
      <c r="M12" s="21">
        <v>1.2</v>
      </c>
      <c r="N12" s="20">
        <f t="shared" ref="N12:N15" si="3">J12+M12*1*L12</f>
        <v>713.43708087430332</v>
      </c>
      <c r="O12" s="20"/>
      <c r="P12" s="18">
        <f>'[1]Sew_New_PVC_Dn250_H=2.0 m'!Z14</f>
        <v>215.52260612136331</v>
      </c>
      <c r="Q12" s="18">
        <f>'[1]Sew_New_PVC_Dn250_H=2.0 m'!AT14</f>
        <v>312.31517611949477</v>
      </c>
      <c r="R12" s="75">
        <f>(Q12-P12)/Q12</f>
        <v>0.30991952168567594</v>
      </c>
      <c r="S12" s="76">
        <f>[1]SEWERAGE_Reinstatement!$D$18</f>
        <v>174.76598165888828</v>
      </c>
      <c r="T12" s="21">
        <v>1.2</v>
      </c>
      <c r="U12" s="20">
        <f>Q12+T12*1*S12</f>
        <v>522.03435411016073</v>
      </c>
      <c r="V12" s="71"/>
      <c r="Z12" s="78"/>
      <c r="AA12" s="1"/>
    </row>
    <row r="13" spans="1:27" x14ac:dyDescent="0.2">
      <c r="A13" s="151">
        <f>A12*I7/4.9</f>
        <v>1101.5008611068515</v>
      </c>
      <c r="B13" t="s">
        <v>129</v>
      </c>
      <c r="F13" s="74" t="s">
        <v>40</v>
      </c>
      <c r="G13" s="81">
        <v>2</v>
      </c>
      <c r="H13" s="16" t="s">
        <v>17</v>
      </c>
      <c r="I13" s="76">
        <f>I12</f>
        <v>388.41390488774215</v>
      </c>
      <c r="J13" s="76">
        <f>J12</f>
        <v>503.71790288363741</v>
      </c>
      <c r="K13" s="77">
        <f t="shared" ref="K13:K15" si="4">K12</f>
        <v>0.22890589620859941</v>
      </c>
      <c r="L13" s="76">
        <f>[1]SEWERAGE_Reinstatement!$Q$18</f>
        <v>173.73799860249881</v>
      </c>
      <c r="M13" s="21">
        <v>1.2</v>
      </c>
      <c r="N13" s="20">
        <f t="shared" si="3"/>
        <v>712.20350120663602</v>
      </c>
      <c r="O13" s="20"/>
      <c r="P13" s="32">
        <f>P12</f>
        <v>215.52260612136331</v>
      </c>
      <c r="Q13" s="32">
        <f>Q12</f>
        <v>312.31517611949477</v>
      </c>
      <c r="R13" s="77">
        <f t="shared" si="1"/>
        <v>0.30991952168567594</v>
      </c>
      <c r="S13" s="76">
        <f>[1]SEWERAGE_Reinstatement!$Q$18</f>
        <v>173.73799860249881</v>
      </c>
      <c r="T13" s="21">
        <v>1.2</v>
      </c>
      <c r="U13" s="20">
        <f t="shared" ref="U13:U15" si="5">Q13+T13*1*S13</f>
        <v>520.80077444249332</v>
      </c>
      <c r="V13" s="71"/>
    </row>
    <row r="14" spans="1:27" x14ac:dyDescent="0.2">
      <c r="A14" s="151">
        <f>A12*'WATER_NEW - Matrix'!I11/4.9</f>
        <v>403.43840865469713</v>
      </c>
      <c r="B14" t="s">
        <v>130</v>
      </c>
      <c r="F14" s="74" t="s">
        <v>40</v>
      </c>
      <c r="G14" s="81">
        <v>2</v>
      </c>
      <c r="H14" s="16" t="s">
        <v>18</v>
      </c>
      <c r="I14" s="76">
        <f>I12</f>
        <v>388.41390488774215</v>
      </c>
      <c r="J14" s="76">
        <f>J12</f>
        <v>503.71790288363741</v>
      </c>
      <c r="K14" s="77">
        <f t="shared" si="4"/>
        <v>0.22890589620859941</v>
      </c>
      <c r="L14" s="76">
        <f>[1]SEWERAGE_Reinstatement!$AD$18</f>
        <v>73.219438056153251</v>
      </c>
      <c r="M14" s="21">
        <v>1.2</v>
      </c>
      <c r="N14" s="20">
        <f t="shared" si="3"/>
        <v>591.58122855102135</v>
      </c>
      <c r="O14" s="20"/>
      <c r="P14" s="32">
        <f>P12</f>
        <v>215.52260612136331</v>
      </c>
      <c r="Q14" s="32">
        <f>Q12</f>
        <v>312.31517611949477</v>
      </c>
      <c r="R14" s="77">
        <f t="shared" si="1"/>
        <v>0.30991952168567594</v>
      </c>
      <c r="S14" s="76">
        <f>[1]SEWERAGE_Reinstatement!$AD$18</f>
        <v>73.219438056153251</v>
      </c>
      <c r="T14" s="21">
        <v>1.2</v>
      </c>
      <c r="U14" s="20">
        <f t="shared" si="5"/>
        <v>400.17850178687866</v>
      </c>
      <c r="V14" s="71"/>
    </row>
    <row r="15" spans="1:27" x14ac:dyDescent="0.2">
      <c r="A15" s="153">
        <f>SUM(A12:A14)</f>
        <v>1519.9392697615485</v>
      </c>
      <c r="B15" t="s">
        <v>131</v>
      </c>
      <c r="F15" s="74" t="s">
        <v>40</v>
      </c>
      <c r="G15" s="81">
        <v>2</v>
      </c>
      <c r="H15" s="16" t="s">
        <v>19</v>
      </c>
      <c r="I15" s="76">
        <f>I12</f>
        <v>388.41390488774215</v>
      </c>
      <c r="J15" s="76">
        <f>J12</f>
        <v>503.71790288363741</v>
      </c>
      <c r="K15" s="77">
        <f t="shared" si="4"/>
        <v>0.22890589620859941</v>
      </c>
      <c r="L15" s="76">
        <f>[1]SEWERAGE_Reinstatement!$AQ$18</f>
        <v>47.718076944013582</v>
      </c>
      <c r="M15" s="21">
        <v>1.2</v>
      </c>
      <c r="N15" s="20">
        <f t="shared" si="3"/>
        <v>560.97959521645373</v>
      </c>
      <c r="O15" s="20"/>
      <c r="P15" s="32">
        <f>P12</f>
        <v>215.52260612136331</v>
      </c>
      <c r="Q15" s="32">
        <f>Q12</f>
        <v>312.31517611949477</v>
      </c>
      <c r="R15" s="77">
        <f t="shared" si="1"/>
        <v>0.30991952168567594</v>
      </c>
      <c r="S15" s="76">
        <f>[1]SEWERAGE_Reinstatement!$AQ$18</f>
        <v>47.718076944013582</v>
      </c>
      <c r="T15" s="21">
        <v>1.2</v>
      </c>
      <c r="U15" s="20">
        <f t="shared" si="5"/>
        <v>369.57686845231103</v>
      </c>
      <c r="V15" s="71"/>
    </row>
    <row r="16" spans="1:27" ht="6" customHeight="1" x14ac:dyDescent="0.2">
      <c r="F16" s="79"/>
      <c r="G16" s="55"/>
      <c r="H16" s="27"/>
      <c r="I16" s="29"/>
      <c r="J16" s="29"/>
      <c r="K16" s="80"/>
      <c r="L16" s="44"/>
      <c r="M16" s="29"/>
      <c r="N16" s="44"/>
      <c r="O16" s="44"/>
      <c r="P16" s="44"/>
      <c r="Q16" s="44"/>
      <c r="R16" s="44"/>
      <c r="S16" s="44"/>
      <c r="T16" s="44"/>
      <c r="U16" s="44"/>
      <c r="V16" s="30"/>
    </row>
    <row r="17" spans="1:23" x14ac:dyDescent="0.2">
      <c r="E17" s="112">
        <v>0.1</v>
      </c>
      <c r="F17" s="74" t="s">
        <v>40</v>
      </c>
      <c r="G17" s="54">
        <v>2.5</v>
      </c>
      <c r="H17" s="16" t="s">
        <v>16</v>
      </c>
      <c r="I17" s="67">
        <f>'[1]Sew_New_PVC_Dn250_H=2.5 m'!Y15</f>
        <v>483.86028542107567</v>
      </c>
      <c r="J17" s="67">
        <f>'[1]Sew_New_PVC_Dn250_H=2.5 m'!AQ15</f>
        <v>552.9590302150782</v>
      </c>
      <c r="K17" s="75">
        <f>(J17-I17)/J17</f>
        <v>0.12496178020119497</v>
      </c>
      <c r="L17" s="76">
        <f>[1]SEWERAGE_Reinstatement!$D$18</f>
        <v>174.76598165888828</v>
      </c>
      <c r="M17" s="21">
        <v>1.2</v>
      </c>
      <c r="N17" s="20">
        <f t="shared" ref="N17:N20" si="6">J17+M17*1*L17</f>
        <v>762.67820820574411</v>
      </c>
      <c r="O17" s="20"/>
      <c r="P17" s="18">
        <f>'[1]Sew_New_PVC_Dn250_H=2.5 m'!Y14</f>
        <v>222.279449106984</v>
      </c>
      <c r="Q17" s="18">
        <f>'[1]Sew_New_PVC_Dn250_H=2.5 m'!AQ14</f>
        <v>275.3350864395473</v>
      </c>
      <c r="R17" s="75">
        <f>(Q17-P17)/Q17</f>
        <v>0.19269479243871163</v>
      </c>
      <c r="S17" s="76">
        <f>[1]SEWERAGE_Reinstatement!$D$18</f>
        <v>174.76598165888828</v>
      </c>
      <c r="T17" s="21">
        <v>1.2</v>
      </c>
      <c r="U17" s="20">
        <f>Q17+T17*1*S17</f>
        <v>485.05426443021327</v>
      </c>
      <c r="V17" s="24"/>
    </row>
    <row r="18" spans="1:23" x14ac:dyDescent="0.2">
      <c r="E18" s="112">
        <v>0.5</v>
      </c>
      <c r="F18" s="74" t="s">
        <v>40</v>
      </c>
      <c r="G18" s="54">
        <v>2.5</v>
      </c>
      <c r="H18" s="16" t="s">
        <v>17</v>
      </c>
      <c r="I18" s="21">
        <f>I17</f>
        <v>483.86028542107567</v>
      </c>
      <c r="J18" s="21">
        <f>J17</f>
        <v>552.9590302150782</v>
      </c>
      <c r="K18" s="77">
        <f>K17</f>
        <v>0.12496178020119497</v>
      </c>
      <c r="L18" s="76">
        <f>[1]SEWERAGE_Reinstatement!$Q$18</f>
        <v>173.73799860249881</v>
      </c>
      <c r="M18" s="21">
        <v>1.2</v>
      </c>
      <c r="N18" s="20">
        <f t="shared" si="6"/>
        <v>761.44462853807681</v>
      </c>
      <c r="O18" s="20"/>
      <c r="P18" s="20">
        <f>P17</f>
        <v>222.279449106984</v>
      </c>
      <c r="Q18" s="20">
        <f>Q17</f>
        <v>275.3350864395473</v>
      </c>
      <c r="R18" s="77">
        <f t="shared" ref="R18:R20" si="7">(Q18-P18)/Q18</f>
        <v>0.19269479243871163</v>
      </c>
      <c r="S18" s="76">
        <f>[1]SEWERAGE_Reinstatement!$Q$18</f>
        <v>173.73799860249881</v>
      </c>
      <c r="T18" s="21">
        <v>1.2</v>
      </c>
      <c r="U18" s="20">
        <f t="shared" ref="U18:U20" si="8">Q18+T18*1*S18</f>
        <v>483.82068476254585</v>
      </c>
      <c r="V18" s="24"/>
    </row>
    <row r="19" spans="1:23" x14ac:dyDescent="0.2">
      <c r="A19" s="151">
        <f>200000000/A15</f>
        <v>131584.20469745246</v>
      </c>
      <c r="E19" s="112">
        <v>0.2</v>
      </c>
      <c r="F19" s="74" t="s">
        <v>40</v>
      </c>
      <c r="G19" s="54">
        <v>2.5</v>
      </c>
      <c r="H19" s="16" t="s">
        <v>18</v>
      </c>
      <c r="I19" s="21">
        <f>I17</f>
        <v>483.86028542107567</v>
      </c>
      <c r="J19" s="21">
        <f>J17</f>
        <v>552.9590302150782</v>
      </c>
      <c r="K19" s="77">
        <f>K17</f>
        <v>0.12496178020119497</v>
      </c>
      <c r="L19" s="76">
        <f>[1]SEWERAGE_Reinstatement!$AD$18</f>
        <v>73.219438056153251</v>
      </c>
      <c r="M19" s="21">
        <v>1.2</v>
      </c>
      <c r="N19" s="20">
        <f t="shared" si="6"/>
        <v>640.82235588246215</v>
      </c>
      <c r="O19" s="20"/>
      <c r="P19" s="20">
        <f>P17</f>
        <v>222.279449106984</v>
      </c>
      <c r="Q19" s="20">
        <f>Q17</f>
        <v>275.3350864395473</v>
      </c>
      <c r="R19" s="77">
        <f t="shared" si="7"/>
        <v>0.19269479243871163</v>
      </c>
      <c r="S19" s="76">
        <f>[1]SEWERAGE_Reinstatement!$AD$18</f>
        <v>73.219438056153251</v>
      </c>
      <c r="T19" s="21">
        <v>1.2</v>
      </c>
      <c r="U19" s="20">
        <f t="shared" si="8"/>
        <v>363.19841210693119</v>
      </c>
      <c r="V19" s="24"/>
    </row>
    <row r="20" spans="1:23" x14ac:dyDescent="0.2">
      <c r="E20" s="112">
        <v>0.2</v>
      </c>
      <c r="F20" s="74" t="s">
        <v>40</v>
      </c>
      <c r="G20" s="54">
        <v>2.5</v>
      </c>
      <c r="H20" s="16" t="s">
        <v>19</v>
      </c>
      <c r="I20" s="21">
        <f>I17</f>
        <v>483.86028542107567</v>
      </c>
      <c r="J20" s="21">
        <f>J17</f>
        <v>552.9590302150782</v>
      </c>
      <c r="K20" s="77">
        <f>K17</f>
        <v>0.12496178020119497</v>
      </c>
      <c r="L20" s="76">
        <f>[1]SEWERAGE_Reinstatement!$AQ$18</f>
        <v>47.718076944013582</v>
      </c>
      <c r="M20" s="21">
        <v>1.2</v>
      </c>
      <c r="N20" s="20">
        <f t="shared" si="6"/>
        <v>610.22072254789452</v>
      </c>
      <c r="O20" s="20"/>
      <c r="P20" s="20">
        <f>P17</f>
        <v>222.279449106984</v>
      </c>
      <c r="Q20" s="20">
        <f>Q17</f>
        <v>275.3350864395473</v>
      </c>
      <c r="R20" s="77">
        <f t="shared" si="7"/>
        <v>0.19269479243871163</v>
      </c>
      <c r="S20" s="76">
        <f>[1]SEWERAGE_Reinstatement!$AQ$18</f>
        <v>47.718076944013582</v>
      </c>
      <c r="T20" s="21">
        <v>1.2</v>
      </c>
      <c r="U20" s="20">
        <f t="shared" si="8"/>
        <v>332.59677877236356</v>
      </c>
      <c r="V20" s="24"/>
    </row>
    <row r="21" spans="1:23" ht="6" customHeight="1" x14ac:dyDescent="0.2">
      <c r="F21" s="82"/>
      <c r="I21" s="47"/>
      <c r="J21" s="47"/>
      <c r="K21" s="49"/>
      <c r="L21" s="46"/>
      <c r="M21" s="29"/>
      <c r="N21" s="46"/>
      <c r="O21" s="46"/>
      <c r="P21" s="46"/>
      <c r="Q21" s="46"/>
      <c r="R21" s="46"/>
      <c r="S21" s="46"/>
      <c r="T21" s="46"/>
      <c r="U21" s="46"/>
    </row>
    <row r="22" spans="1:23" x14ac:dyDescent="0.2">
      <c r="F22" s="74" t="s">
        <v>40</v>
      </c>
      <c r="G22" s="54">
        <v>3</v>
      </c>
      <c r="H22" s="16" t="s">
        <v>16</v>
      </c>
      <c r="I22" s="67">
        <f>'[1]Sew_New_PVC_Dn250_H=3.0 m'!Y15</f>
        <v>506.10364396221922</v>
      </c>
      <c r="J22" s="67">
        <f>'[1]Sew_New_PVC_Dn250_H=3.0 m'!AQ15</f>
        <v>622.92820736182318</v>
      </c>
      <c r="K22" s="75">
        <f>(J22-I22)/J22</f>
        <v>0.18754097505773612</v>
      </c>
      <c r="L22" s="76">
        <f>[1]SEWERAGE_Reinstatement!$D$18</f>
        <v>174.76598165888828</v>
      </c>
      <c r="M22" s="21">
        <v>1.2</v>
      </c>
      <c r="N22" s="20">
        <f t="shared" ref="N22:N25" si="9">J22+M22*1*L22</f>
        <v>832.6473853524891</v>
      </c>
      <c r="O22" s="20"/>
      <c r="P22" s="67">
        <f>'[1]Sew_New_PVC_Dn250_H=3.0 m'!Y14</f>
        <v>266.35785405495983</v>
      </c>
      <c r="Q22" s="67">
        <f>'[1]Sew_New_PVC_Dn250_H=3.0 m'!AQ14</f>
        <v>330.75691788652654</v>
      </c>
      <c r="R22" s="75">
        <f>(Q22-P22)/Q22</f>
        <v>0.19470209192619284</v>
      </c>
      <c r="S22" s="76">
        <f>[1]SEWERAGE_Reinstatement!$D$18</f>
        <v>174.76598165888828</v>
      </c>
      <c r="T22" s="21">
        <v>1.2</v>
      </c>
      <c r="U22" s="20">
        <f t="shared" ref="U22:U25" si="10">Q22+T22*1*S22</f>
        <v>540.47609587719251</v>
      </c>
      <c r="V22" s="24"/>
    </row>
    <row r="23" spans="1:23" x14ac:dyDescent="0.2">
      <c r="F23" s="74" t="s">
        <v>40</v>
      </c>
      <c r="G23" s="54">
        <v>3</v>
      </c>
      <c r="H23" s="16" t="s">
        <v>17</v>
      </c>
      <c r="I23" s="21">
        <f>I22</f>
        <v>506.10364396221922</v>
      </c>
      <c r="J23" s="21">
        <f>J22</f>
        <v>622.92820736182318</v>
      </c>
      <c r="K23" s="77">
        <f>K22</f>
        <v>0.18754097505773612</v>
      </c>
      <c r="L23" s="76">
        <f>[1]SEWERAGE_Reinstatement!$Q$18</f>
        <v>173.73799860249881</v>
      </c>
      <c r="M23" s="21">
        <v>1.2</v>
      </c>
      <c r="N23" s="20">
        <f t="shared" si="9"/>
        <v>831.41380568482168</v>
      </c>
      <c r="O23" s="20"/>
      <c r="P23" s="21">
        <f>P22</f>
        <v>266.35785405495983</v>
      </c>
      <c r="Q23" s="21">
        <f>Q22</f>
        <v>330.75691788652654</v>
      </c>
      <c r="R23" s="77">
        <f>R22</f>
        <v>0.19470209192619284</v>
      </c>
      <c r="S23" s="76">
        <f>[1]SEWERAGE_Reinstatement!$Q$18</f>
        <v>173.73799860249881</v>
      </c>
      <c r="T23" s="21">
        <v>1.2</v>
      </c>
      <c r="U23" s="20">
        <f t="shared" si="10"/>
        <v>539.24251620952509</v>
      </c>
      <c r="V23" s="24"/>
    </row>
    <row r="24" spans="1:23" x14ac:dyDescent="0.2">
      <c r="F24" s="74" t="s">
        <v>40</v>
      </c>
      <c r="G24" s="54">
        <v>3</v>
      </c>
      <c r="H24" s="16" t="s">
        <v>18</v>
      </c>
      <c r="I24" s="21">
        <f>I22</f>
        <v>506.10364396221922</v>
      </c>
      <c r="J24" s="21">
        <f>J22</f>
        <v>622.92820736182318</v>
      </c>
      <c r="K24" s="77">
        <f>K22</f>
        <v>0.18754097505773612</v>
      </c>
      <c r="L24" s="76">
        <f>[1]SEWERAGE_Reinstatement!$AD$18</f>
        <v>73.219438056153251</v>
      </c>
      <c r="M24" s="21">
        <v>1.2</v>
      </c>
      <c r="N24" s="20">
        <f t="shared" si="9"/>
        <v>710.79153302920713</v>
      </c>
      <c r="O24" s="20"/>
      <c r="P24" s="21">
        <f>P22</f>
        <v>266.35785405495983</v>
      </c>
      <c r="Q24" s="21">
        <f>Q22</f>
        <v>330.75691788652654</v>
      </c>
      <c r="R24" s="77">
        <f>R22</f>
        <v>0.19470209192619284</v>
      </c>
      <c r="S24" s="76">
        <f>[1]SEWERAGE_Reinstatement!$AD$18</f>
        <v>73.219438056153251</v>
      </c>
      <c r="T24" s="21">
        <v>1.2</v>
      </c>
      <c r="U24" s="20">
        <f t="shared" si="10"/>
        <v>418.62024355391043</v>
      </c>
      <c r="V24" s="24"/>
    </row>
    <row r="25" spans="1:23" x14ac:dyDescent="0.2">
      <c r="F25" s="74" t="s">
        <v>40</v>
      </c>
      <c r="G25" s="54">
        <v>3</v>
      </c>
      <c r="H25" s="16" t="s">
        <v>19</v>
      </c>
      <c r="I25" s="21">
        <f>I22</f>
        <v>506.10364396221922</v>
      </c>
      <c r="J25" s="21">
        <f>J22</f>
        <v>622.92820736182318</v>
      </c>
      <c r="K25" s="77">
        <f>K22</f>
        <v>0.18754097505773612</v>
      </c>
      <c r="L25" s="76">
        <f>[1]SEWERAGE_Reinstatement!$AQ$18</f>
        <v>47.718076944013582</v>
      </c>
      <c r="M25" s="21">
        <v>1.2</v>
      </c>
      <c r="N25" s="20">
        <f t="shared" si="9"/>
        <v>680.18989969463951</v>
      </c>
      <c r="O25" s="20"/>
      <c r="P25" s="21">
        <f>P22</f>
        <v>266.35785405495983</v>
      </c>
      <c r="Q25" s="21">
        <f>Q22</f>
        <v>330.75691788652654</v>
      </c>
      <c r="R25" s="77">
        <f>R22</f>
        <v>0.19470209192619284</v>
      </c>
      <c r="S25" s="76">
        <f>[1]SEWERAGE_Reinstatement!$AQ$18</f>
        <v>47.718076944013582</v>
      </c>
      <c r="T25" s="21">
        <v>1.2</v>
      </c>
      <c r="U25" s="20">
        <f t="shared" si="10"/>
        <v>388.0186102193428</v>
      </c>
      <c r="V25" s="24"/>
    </row>
    <row r="26" spans="1:23" ht="6" customHeight="1" x14ac:dyDescent="0.2">
      <c r="F26" s="79"/>
      <c r="G26" s="55"/>
      <c r="H26" s="27"/>
      <c r="I26" s="29"/>
      <c r="J26" s="29"/>
      <c r="K26" s="80"/>
      <c r="L26" s="44"/>
      <c r="M26" s="29"/>
      <c r="N26" s="44"/>
      <c r="O26" s="44"/>
      <c r="P26" s="44"/>
      <c r="Q26" s="44"/>
      <c r="R26" s="44"/>
      <c r="S26" s="44"/>
      <c r="T26" s="44"/>
      <c r="U26" s="44"/>
      <c r="V26" s="30"/>
    </row>
    <row r="27" spans="1:23" ht="14.25" customHeight="1" x14ac:dyDescent="0.2">
      <c r="F27" s="74" t="s">
        <v>41</v>
      </c>
      <c r="G27" s="54">
        <v>1.5</v>
      </c>
      <c r="H27" s="16" t="s">
        <v>16</v>
      </c>
      <c r="I27" s="206" t="s">
        <v>20</v>
      </c>
      <c r="J27" s="207"/>
      <c r="K27" s="207"/>
      <c r="L27" s="207"/>
      <c r="M27" s="207"/>
      <c r="N27" s="208"/>
      <c r="O27" s="20"/>
      <c r="P27" s="67">
        <f>'[1]Sew_New_PVC_Dn300_H=1.5 m'!Z13</f>
        <v>400.70607261471321</v>
      </c>
      <c r="Q27" s="67">
        <f>'[1]Sew_New_PVC_Dn300_H=1.5 m'!AL13</f>
        <v>537.83002719540741</v>
      </c>
      <c r="R27" s="75">
        <f>(Q27-P27)/Q27</f>
        <v>0.2549577889798138</v>
      </c>
      <c r="S27" s="76">
        <f>[1]SEWERAGE_Reinstatement!$D$18</f>
        <v>174.76598165888828</v>
      </c>
      <c r="T27" s="21">
        <v>1.2</v>
      </c>
      <c r="U27" s="20">
        <f t="shared" ref="U27:U30" si="11">Q27+T27*1*S27</f>
        <v>747.54920518607332</v>
      </c>
      <c r="V27" s="182" t="s">
        <v>26</v>
      </c>
      <c r="W27" s="83"/>
    </row>
    <row r="28" spans="1:23" ht="14.25" customHeight="1" x14ac:dyDescent="0.2">
      <c r="F28" s="74" t="s">
        <v>41</v>
      </c>
      <c r="G28" s="54">
        <v>1.5</v>
      </c>
      <c r="H28" s="16" t="s">
        <v>17</v>
      </c>
      <c r="I28" s="209"/>
      <c r="J28" s="210"/>
      <c r="K28" s="210"/>
      <c r="L28" s="210"/>
      <c r="M28" s="210"/>
      <c r="N28" s="211"/>
      <c r="O28" s="20"/>
      <c r="P28" s="21">
        <f>P27</f>
        <v>400.70607261471321</v>
      </c>
      <c r="Q28" s="21">
        <f>Q27</f>
        <v>537.83002719540741</v>
      </c>
      <c r="R28" s="77">
        <f>R27</f>
        <v>0.2549577889798138</v>
      </c>
      <c r="S28" s="76">
        <f>[1]SEWERAGE_Reinstatement!$Q$18</f>
        <v>173.73799860249881</v>
      </c>
      <c r="T28" s="21">
        <v>1.2</v>
      </c>
      <c r="U28" s="20">
        <f t="shared" si="11"/>
        <v>746.31562551840602</v>
      </c>
      <c r="V28" s="183"/>
      <c r="W28" s="83"/>
    </row>
    <row r="29" spans="1:23" ht="14.25" customHeight="1" x14ac:dyDescent="0.2">
      <c r="F29" s="74" t="s">
        <v>41</v>
      </c>
      <c r="G29" s="54">
        <v>1.5</v>
      </c>
      <c r="H29" s="16" t="s">
        <v>18</v>
      </c>
      <c r="I29" s="209"/>
      <c r="J29" s="210"/>
      <c r="K29" s="210"/>
      <c r="L29" s="210"/>
      <c r="M29" s="210"/>
      <c r="N29" s="211"/>
      <c r="O29" s="20"/>
      <c r="P29" s="21">
        <f>P27</f>
        <v>400.70607261471321</v>
      </c>
      <c r="Q29" s="21">
        <f>Q27</f>
        <v>537.83002719540741</v>
      </c>
      <c r="R29" s="77">
        <f>R27</f>
        <v>0.2549577889798138</v>
      </c>
      <c r="S29" s="76">
        <f>[1]SEWERAGE_Reinstatement!$AD$18</f>
        <v>73.219438056153251</v>
      </c>
      <c r="T29" s="21">
        <v>1.2</v>
      </c>
      <c r="U29" s="20">
        <f t="shared" si="11"/>
        <v>625.69335286279136</v>
      </c>
      <c r="V29" s="183"/>
      <c r="W29" s="83"/>
    </row>
    <row r="30" spans="1:23" ht="14.25" customHeight="1" x14ac:dyDescent="0.2">
      <c r="F30" s="74" t="s">
        <v>41</v>
      </c>
      <c r="G30" s="54">
        <v>1.5</v>
      </c>
      <c r="H30" s="16" t="s">
        <v>19</v>
      </c>
      <c r="I30" s="212"/>
      <c r="J30" s="213"/>
      <c r="K30" s="213"/>
      <c r="L30" s="213"/>
      <c r="M30" s="213"/>
      <c r="N30" s="214"/>
      <c r="O30" s="20"/>
      <c r="P30" s="21">
        <f>P27</f>
        <v>400.70607261471321</v>
      </c>
      <c r="Q30" s="21">
        <f>Q27</f>
        <v>537.83002719540741</v>
      </c>
      <c r="R30" s="77">
        <f>R27</f>
        <v>0.2549577889798138</v>
      </c>
      <c r="S30" s="76">
        <f>[1]SEWERAGE_Reinstatement!$AQ$18</f>
        <v>47.718076944013582</v>
      </c>
      <c r="T30" s="21">
        <v>1.2</v>
      </c>
      <c r="U30" s="20">
        <f t="shared" si="11"/>
        <v>595.09171952822373</v>
      </c>
      <c r="V30" s="184"/>
      <c r="W30" s="83"/>
    </row>
    <row r="31" spans="1:23" ht="6" customHeight="1" x14ac:dyDescent="0.2">
      <c r="F31" s="79"/>
      <c r="G31" s="55"/>
      <c r="H31" s="27"/>
      <c r="I31" s="29"/>
      <c r="J31" s="29"/>
      <c r="K31" s="80"/>
      <c r="L31" s="44"/>
      <c r="M31" s="29"/>
      <c r="N31" s="44"/>
      <c r="O31" s="44"/>
      <c r="P31" s="44"/>
      <c r="Q31" s="44"/>
      <c r="R31" s="44"/>
      <c r="S31" s="44"/>
      <c r="T31" s="44"/>
      <c r="U31" s="44"/>
      <c r="V31" s="30"/>
    </row>
    <row r="32" spans="1:23" ht="14.25" customHeight="1" x14ac:dyDescent="0.2">
      <c r="F32" s="74" t="s">
        <v>41</v>
      </c>
      <c r="G32" s="54">
        <v>2</v>
      </c>
      <c r="H32" s="16" t="s">
        <v>16</v>
      </c>
      <c r="I32" s="206" t="s">
        <v>20</v>
      </c>
      <c r="J32" s="207"/>
      <c r="K32" s="207"/>
      <c r="L32" s="207"/>
      <c r="M32" s="207"/>
      <c r="N32" s="208"/>
      <c r="O32" s="20"/>
      <c r="P32" s="67">
        <f>'[1]Sew_New_PVC_Dn300_H=2.0 m'!Z13</f>
        <v>355.91038009774752</v>
      </c>
      <c r="Q32" s="67">
        <f>'[1]Sew_New_PVC_Dn300_H=2.0 m'!AL13</f>
        <v>471.2697520826294</v>
      </c>
      <c r="R32" s="75">
        <f>(Q32-P32)/Q32</f>
        <v>0.24478416336946554</v>
      </c>
      <c r="S32" s="76">
        <f>[1]SEWERAGE_Reinstatement!$D$18</f>
        <v>174.76598165888828</v>
      </c>
      <c r="T32" s="21">
        <v>1.2</v>
      </c>
      <c r="U32" s="20">
        <f t="shared" ref="U32:U35" si="12">Q32+T32*1*S32</f>
        <v>680.98893007329536</v>
      </c>
      <c r="V32" s="24"/>
    </row>
    <row r="33" spans="6:22" ht="14.25" customHeight="1" x14ac:dyDescent="0.2">
      <c r="F33" s="74" t="s">
        <v>41</v>
      </c>
      <c r="G33" s="54">
        <v>2</v>
      </c>
      <c r="H33" s="16" t="s">
        <v>17</v>
      </c>
      <c r="I33" s="209"/>
      <c r="J33" s="210"/>
      <c r="K33" s="210"/>
      <c r="L33" s="210"/>
      <c r="M33" s="210"/>
      <c r="N33" s="211"/>
      <c r="O33" s="20"/>
      <c r="P33" s="21">
        <f>P32</f>
        <v>355.91038009774752</v>
      </c>
      <c r="Q33" s="21">
        <f>Q32</f>
        <v>471.2697520826294</v>
      </c>
      <c r="R33" s="77">
        <f>R32</f>
        <v>0.24478416336946554</v>
      </c>
      <c r="S33" s="76">
        <f>[1]SEWERAGE_Reinstatement!$Q$18</f>
        <v>173.73799860249881</v>
      </c>
      <c r="T33" s="21">
        <v>1.2</v>
      </c>
      <c r="U33" s="20">
        <f t="shared" si="12"/>
        <v>679.75535040562795</v>
      </c>
      <c r="V33" s="24"/>
    </row>
    <row r="34" spans="6:22" ht="14.25" customHeight="1" x14ac:dyDescent="0.2">
      <c r="F34" s="74" t="s">
        <v>41</v>
      </c>
      <c r="G34" s="54">
        <v>2</v>
      </c>
      <c r="H34" s="16" t="s">
        <v>18</v>
      </c>
      <c r="I34" s="209"/>
      <c r="J34" s="210"/>
      <c r="K34" s="210"/>
      <c r="L34" s="210"/>
      <c r="M34" s="210"/>
      <c r="N34" s="211"/>
      <c r="O34" s="20"/>
      <c r="P34" s="21">
        <f>P32</f>
        <v>355.91038009774752</v>
      </c>
      <c r="Q34" s="21">
        <f>Q32</f>
        <v>471.2697520826294</v>
      </c>
      <c r="R34" s="77">
        <f>R32</f>
        <v>0.24478416336946554</v>
      </c>
      <c r="S34" s="76">
        <f>[1]SEWERAGE_Reinstatement!$AD$18</f>
        <v>73.219438056153251</v>
      </c>
      <c r="T34" s="21">
        <v>1.2</v>
      </c>
      <c r="U34" s="20">
        <f t="shared" si="12"/>
        <v>559.13307775001329</v>
      </c>
      <c r="V34" s="24"/>
    </row>
    <row r="35" spans="6:22" ht="14.25" customHeight="1" x14ac:dyDescent="0.2">
      <c r="F35" s="74" t="s">
        <v>41</v>
      </c>
      <c r="G35" s="54">
        <v>2</v>
      </c>
      <c r="H35" s="16" t="s">
        <v>19</v>
      </c>
      <c r="I35" s="212"/>
      <c r="J35" s="213"/>
      <c r="K35" s="213"/>
      <c r="L35" s="213"/>
      <c r="M35" s="213"/>
      <c r="N35" s="214"/>
      <c r="O35" s="20"/>
      <c r="P35" s="21">
        <f>P32</f>
        <v>355.91038009774752</v>
      </c>
      <c r="Q35" s="21">
        <f>Q32</f>
        <v>471.2697520826294</v>
      </c>
      <c r="R35" s="77">
        <f>R32</f>
        <v>0.24478416336946554</v>
      </c>
      <c r="S35" s="76">
        <f>[1]SEWERAGE_Reinstatement!$AQ$18</f>
        <v>47.718076944013582</v>
      </c>
      <c r="T35" s="21">
        <v>1.2</v>
      </c>
      <c r="U35" s="20">
        <f t="shared" si="12"/>
        <v>528.53144441544566</v>
      </c>
      <c r="V35" s="24"/>
    </row>
    <row r="36" spans="6:22" ht="6" customHeight="1" x14ac:dyDescent="0.2">
      <c r="F36" s="82"/>
      <c r="I36" s="47"/>
      <c r="J36" s="47"/>
      <c r="K36" s="49"/>
      <c r="L36" s="44"/>
      <c r="M36" s="29"/>
      <c r="N36" s="44"/>
      <c r="O36" s="61"/>
      <c r="P36" s="61"/>
      <c r="Q36" s="61"/>
      <c r="R36" s="61"/>
      <c r="S36" s="61"/>
      <c r="T36" s="61"/>
      <c r="U36" s="61"/>
    </row>
    <row r="37" spans="6:22" ht="14.25" customHeight="1" x14ac:dyDescent="0.2">
      <c r="F37" s="74" t="s">
        <v>41</v>
      </c>
      <c r="G37" s="54">
        <v>2.5</v>
      </c>
      <c r="H37" s="16" t="s">
        <v>16</v>
      </c>
      <c r="I37" s="206" t="s">
        <v>20</v>
      </c>
      <c r="J37" s="207"/>
      <c r="K37" s="207"/>
      <c r="L37" s="207"/>
      <c r="M37" s="207"/>
      <c r="N37" s="208"/>
      <c r="O37" s="20"/>
      <c r="P37" s="67">
        <f>'[1]Sew_New_PVC_Dn300_H=2.5 m'!AA14</f>
        <v>375.23942048783476</v>
      </c>
      <c r="Q37" s="67">
        <f>'[1]Sew_New_PVC_Dn300_H=2.5 m'!AM15</f>
        <v>522.17630055490497</v>
      </c>
      <c r="R37" s="75">
        <f>(Q37-P37)/Q37</f>
        <v>0.28139323809013106</v>
      </c>
      <c r="S37" s="76">
        <f>[1]SEWERAGE_Reinstatement!$D$18</f>
        <v>174.76598165888828</v>
      </c>
      <c r="T37" s="21">
        <v>1.2</v>
      </c>
      <c r="U37" s="20">
        <f t="shared" ref="U37:U40" si="13">Q37+T37*1*S37</f>
        <v>731.89547854557088</v>
      </c>
      <c r="V37" s="24"/>
    </row>
    <row r="38" spans="6:22" ht="14.25" customHeight="1" x14ac:dyDescent="0.2">
      <c r="F38" s="74" t="s">
        <v>41</v>
      </c>
      <c r="G38" s="54">
        <v>2.5</v>
      </c>
      <c r="H38" s="16" t="s">
        <v>17</v>
      </c>
      <c r="I38" s="209"/>
      <c r="J38" s="210"/>
      <c r="K38" s="210"/>
      <c r="L38" s="210"/>
      <c r="M38" s="210"/>
      <c r="N38" s="211"/>
      <c r="O38" s="20"/>
      <c r="P38" s="21">
        <f>P37</f>
        <v>375.23942048783476</v>
      </c>
      <c r="Q38" s="21">
        <f>Q37</f>
        <v>522.17630055490497</v>
      </c>
      <c r="R38" s="77">
        <f>R37</f>
        <v>0.28139323809013106</v>
      </c>
      <c r="S38" s="76">
        <f>[1]SEWERAGE_Reinstatement!$Q$18</f>
        <v>173.73799860249881</v>
      </c>
      <c r="T38" s="21">
        <v>1.2</v>
      </c>
      <c r="U38" s="20">
        <f t="shared" si="13"/>
        <v>730.66189887790347</v>
      </c>
      <c r="V38" s="24"/>
    </row>
    <row r="39" spans="6:22" ht="14.25" customHeight="1" x14ac:dyDescent="0.2">
      <c r="F39" s="74" t="s">
        <v>41</v>
      </c>
      <c r="G39" s="54">
        <v>2.5</v>
      </c>
      <c r="H39" s="16" t="s">
        <v>18</v>
      </c>
      <c r="I39" s="209"/>
      <c r="J39" s="210"/>
      <c r="K39" s="210"/>
      <c r="L39" s="210"/>
      <c r="M39" s="210"/>
      <c r="N39" s="211"/>
      <c r="O39" s="20"/>
      <c r="P39" s="21">
        <f>P37</f>
        <v>375.23942048783476</v>
      </c>
      <c r="Q39" s="21">
        <f>Q37</f>
        <v>522.17630055490497</v>
      </c>
      <c r="R39" s="77">
        <f>R37</f>
        <v>0.28139323809013106</v>
      </c>
      <c r="S39" s="76">
        <f>[1]SEWERAGE_Reinstatement!$AD$18</f>
        <v>73.219438056153251</v>
      </c>
      <c r="T39" s="21">
        <v>1.2</v>
      </c>
      <c r="U39" s="20">
        <f t="shared" si="13"/>
        <v>610.03962622228892</v>
      </c>
      <c r="V39" s="24"/>
    </row>
    <row r="40" spans="6:22" ht="14.25" customHeight="1" x14ac:dyDescent="0.2">
      <c r="F40" s="74" t="s">
        <v>41</v>
      </c>
      <c r="G40" s="54">
        <v>2.5</v>
      </c>
      <c r="H40" s="16" t="s">
        <v>19</v>
      </c>
      <c r="I40" s="212"/>
      <c r="J40" s="213"/>
      <c r="K40" s="213"/>
      <c r="L40" s="213"/>
      <c r="M40" s="213"/>
      <c r="N40" s="214"/>
      <c r="O40" s="20"/>
      <c r="P40" s="21">
        <f>P37</f>
        <v>375.23942048783476</v>
      </c>
      <c r="Q40" s="21">
        <f>Q37</f>
        <v>522.17630055490497</v>
      </c>
      <c r="R40" s="77">
        <f>R37</f>
        <v>0.28139323809013106</v>
      </c>
      <c r="S40" s="76">
        <f>[1]SEWERAGE_Reinstatement!$AQ$18</f>
        <v>47.718076944013582</v>
      </c>
      <c r="T40" s="21">
        <v>1.2</v>
      </c>
      <c r="U40" s="20">
        <f t="shared" si="13"/>
        <v>579.43799288772129</v>
      </c>
      <c r="V40" s="24"/>
    </row>
    <row r="41" spans="6:22" ht="6" customHeight="1" x14ac:dyDescent="0.2">
      <c r="F41" s="79"/>
      <c r="G41" s="55"/>
      <c r="H41" s="27"/>
      <c r="I41" s="29"/>
      <c r="J41" s="29"/>
      <c r="K41" s="80"/>
      <c r="L41" s="44"/>
      <c r="M41" s="29"/>
      <c r="N41" s="44"/>
      <c r="O41" s="44"/>
      <c r="P41" s="29"/>
      <c r="Q41" s="29"/>
      <c r="R41" s="80"/>
      <c r="S41" s="44"/>
      <c r="T41" s="29"/>
      <c r="U41" s="44"/>
      <c r="V41" s="30"/>
    </row>
    <row r="42" spans="6:22" ht="14.25" customHeight="1" x14ac:dyDescent="0.2">
      <c r="F42" s="74" t="s">
        <v>41</v>
      </c>
      <c r="G42" s="54">
        <v>3</v>
      </c>
      <c r="H42" s="16" t="s">
        <v>16</v>
      </c>
      <c r="I42" s="206" t="s">
        <v>20</v>
      </c>
      <c r="J42" s="207"/>
      <c r="K42" s="207"/>
      <c r="L42" s="207"/>
      <c r="M42" s="207"/>
      <c r="N42" s="208"/>
      <c r="O42" s="20"/>
      <c r="P42" s="67">
        <f>'[1]Sew_New_PVC_Dn300_H=3.0 m'!Z14</f>
        <v>439.10686563673551</v>
      </c>
      <c r="Q42" s="67">
        <f>'[1]Sew_New_PVC_Dn300_H=3.0 m'!AL14</f>
        <v>598.30785137341854</v>
      </c>
      <c r="R42" s="75">
        <f>(Q42-P42)/Q42</f>
        <v>0.26608540297647176</v>
      </c>
      <c r="S42" s="76">
        <f>[1]SEWERAGE_Reinstatement!$D$18</f>
        <v>174.76598165888828</v>
      </c>
      <c r="T42" s="21">
        <v>1.2</v>
      </c>
      <c r="U42" s="20">
        <f t="shared" ref="U42:U45" si="14">Q42+T42*1*S42</f>
        <v>808.02702936408446</v>
      </c>
      <c r="V42" s="24"/>
    </row>
    <row r="43" spans="6:22" ht="14.25" customHeight="1" x14ac:dyDescent="0.2">
      <c r="F43" s="74" t="s">
        <v>41</v>
      </c>
      <c r="G43" s="54">
        <v>3</v>
      </c>
      <c r="H43" s="16" t="s">
        <v>17</v>
      </c>
      <c r="I43" s="209"/>
      <c r="J43" s="210"/>
      <c r="K43" s="210"/>
      <c r="L43" s="210"/>
      <c r="M43" s="210"/>
      <c r="N43" s="211"/>
      <c r="O43" s="20"/>
      <c r="P43" s="21">
        <f>P42</f>
        <v>439.10686563673551</v>
      </c>
      <c r="Q43" s="21">
        <f>Q42</f>
        <v>598.30785137341854</v>
      </c>
      <c r="R43" s="77">
        <f>R42</f>
        <v>0.26608540297647176</v>
      </c>
      <c r="S43" s="76">
        <f>[1]SEWERAGE_Reinstatement!$Q$18</f>
        <v>173.73799860249881</v>
      </c>
      <c r="T43" s="21">
        <v>1.2</v>
      </c>
      <c r="U43" s="20">
        <f t="shared" si="14"/>
        <v>806.79344969641716</v>
      </c>
      <c r="V43" s="24"/>
    </row>
    <row r="44" spans="6:22" ht="14.25" customHeight="1" x14ac:dyDescent="0.2">
      <c r="F44" s="74" t="s">
        <v>41</v>
      </c>
      <c r="G44" s="54">
        <v>3</v>
      </c>
      <c r="H44" s="16" t="s">
        <v>18</v>
      </c>
      <c r="I44" s="209"/>
      <c r="J44" s="210"/>
      <c r="K44" s="210"/>
      <c r="L44" s="210"/>
      <c r="M44" s="210"/>
      <c r="N44" s="211"/>
      <c r="O44" s="20"/>
      <c r="P44" s="21">
        <f>P42</f>
        <v>439.10686563673551</v>
      </c>
      <c r="Q44" s="21">
        <f>Q42</f>
        <v>598.30785137341854</v>
      </c>
      <c r="R44" s="77">
        <f>R42</f>
        <v>0.26608540297647176</v>
      </c>
      <c r="S44" s="76">
        <f>[1]SEWERAGE_Reinstatement!$AD$18</f>
        <v>73.219438056153251</v>
      </c>
      <c r="T44" s="21">
        <v>1.2</v>
      </c>
      <c r="U44" s="20">
        <f t="shared" si="14"/>
        <v>686.17117704080249</v>
      </c>
      <c r="V44" s="24"/>
    </row>
    <row r="45" spans="6:22" ht="14.25" customHeight="1" x14ac:dyDescent="0.2">
      <c r="F45" s="74" t="s">
        <v>41</v>
      </c>
      <c r="G45" s="54">
        <v>3</v>
      </c>
      <c r="H45" s="16" t="s">
        <v>19</v>
      </c>
      <c r="I45" s="212"/>
      <c r="J45" s="213"/>
      <c r="K45" s="213"/>
      <c r="L45" s="213"/>
      <c r="M45" s="213"/>
      <c r="N45" s="214"/>
      <c r="O45" s="20"/>
      <c r="P45" s="21">
        <f>P42</f>
        <v>439.10686563673551</v>
      </c>
      <c r="Q45" s="21">
        <f>Q42</f>
        <v>598.30785137341854</v>
      </c>
      <c r="R45" s="77">
        <f>R42</f>
        <v>0.26608540297647176</v>
      </c>
      <c r="S45" s="76">
        <f>[1]SEWERAGE_Reinstatement!$AQ$18</f>
        <v>47.718076944013582</v>
      </c>
      <c r="T45" s="21">
        <v>1.2</v>
      </c>
      <c r="U45" s="20">
        <f t="shared" si="14"/>
        <v>655.56954370623487</v>
      </c>
      <c r="V45" s="24"/>
    </row>
    <row r="46" spans="6:22" x14ac:dyDescent="0.2">
      <c r="F46" s="84"/>
      <c r="G46" s="85"/>
      <c r="H46" s="33"/>
      <c r="I46" s="36"/>
      <c r="J46" s="33"/>
      <c r="K46" s="86"/>
      <c r="L46" s="33"/>
      <c r="M46" s="36"/>
      <c r="N46" s="33"/>
      <c r="O46" s="33"/>
      <c r="P46" s="33"/>
      <c r="Q46" s="33"/>
      <c r="R46" s="33"/>
      <c r="S46" s="33"/>
      <c r="T46" s="33"/>
      <c r="U46" s="33"/>
      <c r="V46" s="87"/>
    </row>
    <row r="47" spans="6:22" s="59" customFormat="1" x14ac:dyDescent="0.2">
      <c r="F47" s="88"/>
      <c r="G47" s="89"/>
      <c r="K47" s="90"/>
      <c r="M47" s="62"/>
      <c r="V47" s="91"/>
    </row>
    <row r="48" spans="6:22" s="59" customFormat="1" x14ac:dyDescent="0.2">
      <c r="F48" s="88"/>
      <c r="G48" s="89"/>
      <c r="K48" s="90"/>
      <c r="M48" s="62"/>
      <c r="V48" s="91"/>
    </row>
    <row r="49" spans="6:22" s="59" customFormat="1" x14ac:dyDescent="0.2">
      <c r="F49" s="88"/>
      <c r="G49" s="89"/>
      <c r="K49" s="90"/>
      <c r="M49" s="62"/>
      <c r="V49" s="91"/>
    </row>
    <row r="50" spans="6:22" s="59" customFormat="1" x14ac:dyDescent="0.2">
      <c r="F50" s="88"/>
      <c r="G50" s="89"/>
      <c r="K50" s="90"/>
      <c r="M50" s="62"/>
      <c r="V50" s="91"/>
    </row>
    <row r="51" spans="6:22" s="59" customFormat="1" x14ac:dyDescent="0.2">
      <c r="F51" s="88"/>
      <c r="G51" s="89"/>
      <c r="K51" s="90"/>
      <c r="M51" s="62"/>
    </row>
    <row r="52" spans="6:22" s="59" customFormat="1" x14ac:dyDescent="0.2">
      <c r="F52" s="88"/>
      <c r="G52" s="89"/>
      <c r="K52" s="90"/>
      <c r="M52" s="62"/>
      <c r="V52" s="91"/>
    </row>
    <row r="53" spans="6:22" s="59" customFormat="1" x14ac:dyDescent="0.2">
      <c r="F53" s="88"/>
      <c r="G53" s="89"/>
      <c r="K53" s="90"/>
      <c r="M53" s="62"/>
      <c r="V53" s="91"/>
    </row>
    <row r="54" spans="6:22" s="59" customFormat="1" x14ac:dyDescent="0.2">
      <c r="F54" s="88"/>
      <c r="G54" s="89"/>
      <c r="K54" s="90"/>
      <c r="M54" s="62"/>
      <c r="V54" s="91"/>
    </row>
    <row r="55" spans="6:22" s="59" customFormat="1" x14ac:dyDescent="0.2">
      <c r="F55" s="88"/>
      <c r="G55" s="89"/>
      <c r="K55" s="90"/>
      <c r="M55" s="62"/>
      <c r="V55" s="91"/>
    </row>
    <row r="56" spans="6:22" s="59" customFormat="1" x14ac:dyDescent="0.2">
      <c r="F56" s="88"/>
      <c r="G56" s="89"/>
      <c r="K56" s="90"/>
      <c r="M56" s="62"/>
      <c r="V56" s="91"/>
    </row>
    <row r="57" spans="6:22" s="59" customFormat="1" x14ac:dyDescent="0.2">
      <c r="F57" s="88"/>
      <c r="G57" s="89"/>
      <c r="K57" s="90"/>
      <c r="M57" s="62"/>
      <c r="V57" s="91"/>
    </row>
    <row r="58" spans="6:22" s="59" customFormat="1" x14ac:dyDescent="0.2">
      <c r="F58" s="88"/>
      <c r="G58" s="89"/>
      <c r="K58" s="90"/>
      <c r="M58" s="62"/>
      <c r="V58" s="91"/>
    </row>
    <row r="59" spans="6:22" s="59" customFormat="1" x14ac:dyDescent="0.2">
      <c r="F59" s="88"/>
      <c r="G59" s="89"/>
      <c r="K59" s="90"/>
      <c r="M59" s="62"/>
      <c r="V59" s="91"/>
    </row>
    <row r="60" spans="6:22" s="59" customFormat="1" x14ac:dyDescent="0.2">
      <c r="F60" s="88"/>
      <c r="G60" s="89"/>
      <c r="K60" s="90"/>
      <c r="M60" s="62"/>
      <c r="V60" s="91"/>
    </row>
    <row r="61" spans="6:22" s="59" customFormat="1" x14ac:dyDescent="0.2">
      <c r="F61" s="88"/>
      <c r="G61" s="89"/>
      <c r="K61" s="90"/>
      <c r="M61" s="62"/>
      <c r="V61" s="91"/>
    </row>
    <row r="62" spans="6:22" s="59" customFormat="1" x14ac:dyDescent="0.2">
      <c r="F62" s="88"/>
      <c r="G62" s="89"/>
      <c r="K62" s="90"/>
      <c r="M62" s="62"/>
      <c r="V62" s="91"/>
    </row>
    <row r="63" spans="6:22" s="59" customFormat="1" x14ac:dyDescent="0.2">
      <c r="F63" s="88"/>
      <c r="G63" s="89"/>
      <c r="K63" s="90"/>
      <c r="M63" s="62"/>
      <c r="V63" s="91"/>
    </row>
    <row r="64" spans="6:22" s="59" customFormat="1" x14ac:dyDescent="0.2">
      <c r="F64" s="88"/>
      <c r="G64" s="89"/>
      <c r="K64" s="90"/>
      <c r="M64" s="62"/>
      <c r="V64" s="91"/>
    </row>
    <row r="65" spans="7:22" s="59" customFormat="1" x14ac:dyDescent="0.2">
      <c r="G65" s="89"/>
      <c r="K65" s="90"/>
      <c r="M65" s="62"/>
      <c r="V65" s="91"/>
    </row>
    <row r="66" spans="7:22" s="59" customFormat="1" x14ac:dyDescent="0.2">
      <c r="G66" s="89"/>
      <c r="K66" s="90"/>
      <c r="M66" s="62"/>
    </row>
    <row r="67" spans="7:22" s="59" customFormat="1" x14ac:dyDescent="0.2">
      <c r="G67" s="89"/>
      <c r="K67" s="90"/>
      <c r="M67" s="62"/>
      <c r="V67" s="91"/>
    </row>
    <row r="68" spans="7:22" s="59" customFormat="1" x14ac:dyDescent="0.2">
      <c r="G68" s="89"/>
      <c r="K68" s="90"/>
      <c r="M68" s="62"/>
      <c r="V68" s="91"/>
    </row>
    <row r="69" spans="7:22" s="59" customFormat="1" x14ac:dyDescent="0.2">
      <c r="G69" s="89"/>
      <c r="K69" s="90"/>
      <c r="M69" s="62"/>
      <c r="V69" s="91"/>
    </row>
    <row r="70" spans="7:22" s="59" customFormat="1" x14ac:dyDescent="0.2">
      <c r="G70" s="89"/>
      <c r="K70" s="90"/>
      <c r="M70" s="62"/>
      <c r="V70" s="91"/>
    </row>
    <row r="71" spans="7:22" s="59" customFormat="1" x14ac:dyDescent="0.2">
      <c r="G71" s="89"/>
      <c r="K71" s="90"/>
      <c r="M71" s="62"/>
      <c r="V71" s="91"/>
    </row>
    <row r="72" spans="7:22" s="59" customFormat="1" x14ac:dyDescent="0.2">
      <c r="G72" s="89"/>
      <c r="K72" s="90"/>
      <c r="M72" s="62"/>
      <c r="V72" s="91"/>
    </row>
    <row r="73" spans="7:22" s="59" customFormat="1" x14ac:dyDescent="0.2">
      <c r="G73" s="89"/>
      <c r="K73" s="90"/>
      <c r="M73" s="62"/>
      <c r="V73" s="91"/>
    </row>
    <row r="74" spans="7:22" s="59" customFormat="1" x14ac:dyDescent="0.2">
      <c r="G74" s="89"/>
      <c r="K74" s="90"/>
      <c r="M74" s="62"/>
      <c r="V74" s="91"/>
    </row>
    <row r="75" spans="7:22" s="59" customFormat="1" x14ac:dyDescent="0.2">
      <c r="G75" s="89"/>
      <c r="K75" s="90"/>
      <c r="M75" s="62"/>
      <c r="V75" s="91"/>
    </row>
    <row r="76" spans="7:22" s="59" customFormat="1" x14ac:dyDescent="0.2">
      <c r="G76" s="89"/>
      <c r="K76" s="90"/>
      <c r="M76" s="62"/>
      <c r="V76" s="91"/>
    </row>
    <row r="77" spans="7:22" s="59" customFormat="1" x14ac:dyDescent="0.2">
      <c r="G77" s="89"/>
      <c r="K77" s="90"/>
      <c r="M77" s="62"/>
      <c r="V77" s="91"/>
    </row>
    <row r="78" spans="7:22" s="59" customFormat="1" x14ac:dyDescent="0.2">
      <c r="G78" s="89"/>
      <c r="K78" s="90"/>
      <c r="M78" s="62"/>
      <c r="V78" s="91"/>
    </row>
    <row r="79" spans="7:22" s="59" customFormat="1" x14ac:dyDescent="0.2">
      <c r="G79" s="89"/>
      <c r="K79" s="90"/>
      <c r="M79" s="62"/>
      <c r="V79" s="91"/>
    </row>
    <row r="80" spans="7:22" s="59" customFormat="1" x14ac:dyDescent="0.2">
      <c r="G80" s="89"/>
      <c r="K80" s="90"/>
      <c r="M80" s="62"/>
      <c r="V80" s="91"/>
    </row>
    <row r="81" spans="7:22" s="59" customFormat="1" x14ac:dyDescent="0.2">
      <c r="G81" s="89"/>
      <c r="K81" s="90"/>
      <c r="M81" s="62"/>
    </row>
    <row r="82" spans="7:22" s="59" customFormat="1" x14ac:dyDescent="0.2">
      <c r="G82" s="89"/>
      <c r="K82" s="90"/>
      <c r="M82" s="62"/>
      <c r="V82" s="91"/>
    </row>
    <row r="83" spans="7:22" s="59" customFormat="1" x14ac:dyDescent="0.2">
      <c r="G83" s="89"/>
      <c r="K83" s="90"/>
      <c r="M83" s="62"/>
      <c r="V83" s="91"/>
    </row>
    <row r="84" spans="7:22" s="59" customFormat="1" x14ac:dyDescent="0.2">
      <c r="G84" s="89"/>
      <c r="K84" s="90"/>
      <c r="M84" s="62"/>
      <c r="V84" s="91"/>
    </row>
    <row r="85" spans="7:22" s="59" customFormat="1" x14ac:dyDescent="0.2">
      <c r="G85" s="89"/>
      <c r="K85" s="90"/>
      <c r="M85" s="62"/>
      <c r="V85" s="91"/>
    </row>
    <row r="86" spans="7:22" s="59" customFormat="1" x14ac:dyDescent="0.2">
      <c r="G86" s="89"/>
      <c r="K86" s="90"/>
      <c r="M86" s="62"/>
      <c r="V86" s="91"/>
    </row>
    <row r="87" spans="7:22" s="59" customFormat="1" x14ac:dyDescent="0.2">
      <c r="G87" s="89"/>
      <c r="K87" s="90"/>
      <c r="M87" s="62"/>
      <c r="V87" s="91"/>
    </row>
    <row r="88" spans="7:22" s="59" customFormat="1" x14ac:dyDescent="0.2">
      <c r="G88" s="89"/>
      <c r="K88" s="90"/>
      <c r="M88" s="62"/>
      <c r="V88" s="91"/>
    </row>
    <row r="89" spans="7:22" s="59" customFormat="1" x14ac:dyDescent="0.2">
      <c r="G89" s="89"/>
      <c r="K89" s="90"/>
      <c r="M89" s="62"/>
      <c r="V89" s="91"/>
    </row>
    <row r="90" spans="7:22" s="59" customFormat="1" x14ac:dyDescent="0.2">
      <c r="G90" s="89"/>
      <c r="K90" s="90"/>
      <c r="M90" s="62"/>
      <c r="V90" s="91"/>
    </row>
    <row r="91" spans="7:22" s="59" customFormat="1" x14ac:dyDescent="0.2">
      <c r="G91" s="89"/>
      <c r="K91" s="90"/>
      <c r="M91" s="62"/>
      <c r="V91" s="91"/>
    </row>
    <row r="92" spans="7:22" s="59" customFormat="1" x14ac:dyDescent="0.2">
      <c r="G92" s="89"/>
      <c r="K92" s="90"/>
      <c r="M92" s="62"/>
      <c r="V92" s="91"/>
    </row>
    <row r="93" spans="7:22" s="59" customFormat="1" x14ac:dyDescent="0.2">
      <c r="G93" s="89"/>
      <c r="K93" s="90"/>
      <c r="M93" s="62"/>
      <c r="V93" s="91"/>
    </row>
    <row r="94" spans="7:22" s="59" customFormat="1" x14ac:dyDescent="0.2">
      <c r="G94" s="89"/>
      <c r="K94" s="90"/>
      <c r="M94" s="62"/>
      <c r="V94" s="91"/>
    </row>
    <row r="95" spans="7:22" s="59" customFormat="1" x14ac:dyDescent="0.2">
      <c r="G95" s="89"/>
      <c r="K95" s="90"/>
      <c r="M95" s="62"/>
      <c r="V95" s="91"/>
    </row>
    <row r="96" spans="7:22" s="59" customFormat="1" x14ac:dyDescent="0.2">
      <c r="G96" s="89"/>
      <c r="K96" s="90"/>
      <c r="M96" s="62"/>
    </row>
    <row r="97" spans="7:13" s="59" customFormat="1" x14ac:dyDescent="0.2">
      <c r="G97" s="89"/>
      <c r="K97" s="90"/>
      <c r="M97" s="62"/>
    </row>
    <row r="98" spans="7:13" s="59" customFormat="1" x14ac:dyDescent="0.2">
      <c r="G98" s="89"/>
      <c r="K98" s="90"/>
      <c r="M98" s="62"/>
    </row>
  </sheetData>
  <mergeCells count="10">
    <mergeCell ref="V27:V30"/>
    <mergeCell ref="I32:N35"/>
    <mergeCell ref="I37:N40"/>
    <mergeCell ref="I42:N45"/>
    <mergeCell ref="F1:H5"/>
    <mergeCell ref="K2:K3"/>
    <mergeCell ref="N2:P3"/>
    <mergeCell ref="I5:N5"/>
    <mergeCell ref="P5:U5"/>
    <mergeCell ref="I27:N30"/>
  </mergeCells>
  <pageMargins left="0.7" right="0.7" top="0.75" bottom="0.75" header="0.3" footer="0.3"/>
  <pageSetup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E1:AC78"/>
  <sheetViews>
    <sheetView zoomScale="60" zoomScaleNormal="60" workbookViewId="0">
      <selection activeCell="AA26" sqref="AA26"/>
    </sheetView>
  </sheetViews>
  <sheetFormatPr baseColWidth="10" defaultColWidth="8.83203125" defaultRowHeight="15" x14ac:dyDescent="0.2"/>
  <cols>
    <col min="6" max="6" width="10.6640625" customWidth="1"/>
    <col min="7" max="7" width="7.5" style="50" customWidth="1"/>
    <col min="8" max="8" width="11.5" customWidth="1"/>
    <col min="9" max="9" width="7.83203125" bestFit="1" customWidth="1"/>
    <col min="10" max="11" width="9.5" customWidth="1"/>
    <col min="12" max="12" width="9.6640625" customWidth="1"/>
    <col min="13" max="13" width="7.5" style="47" customWidth="1"/>
    <col min="14" max="14" width="10" customWidth="1"/>
    <col min="15" max="15" width="1" customWidth="1"/>
    <col min="16" max="16" width="9" bestFit="1" customWidth="1"/>
    <col min="17" max="17" width="9.33203125" bestFit="1" customWidth="1"/>
    <col min="18" max="18" width="9.83203125" customWidth="1"/>
    <col min="19" max="19" width="8.83203125" customWidth="1"/>
    <col min="20" max="20" width="8.5" customWidth="1"/>
    <col min="21" max="21" width="9.6640625" customWidth="1"/>
    <col min="22" max="22" width="17.83203125" customWidth="1"/>
  </cols>
  <sheetData>
    <row r="1" spans="5:29" x14ac:dyDescent="0.2">
      <c r="E1" s="2"/>
      <c r="F1" s="173" t="s">
        <v>42</v>
      </c>
      <c r="G1" s="173"/>
      <c r="H1" s="173"/>
      <c r="I1" s="4"/>
      <c r="J1" s="6"/>
      <c r="K1" s="6"/>
      <c r="L1" s="4"/>
      <c r="M1" s="5"/>
      <c r="N1" s="4"/>
      <c r="O1" s="4"/>
      <c r="P1" s="4"/>
      <c r="Q1" s="4"/>
      <c r="R1" s="4"/>
      <c r="S1" s="4"/>
      <c r="T1" s="4"/>
      <c r="U1" s="4"/>
      <c r="V1" s="7"/>
    </row>
    <row r="2" spans="5:29" ht="14.25" customHeight="1" x14ac:dyDescent="0.2">
      <c r="E2" s="2"/>
      <c r="F2" s="173"/>
      <c r="G2" s="173"/>
      <c r="H2" s="173"/>
      <c r="I2" s="4"/>
      <c r="J2" s="229" t="s">
        <v>43</v>
      </c>
      <c r="K2" s="92"/>
      <c r="L2" s="4"/>
      <c r="M2" s="8"/>
      <c r="N2" s="185" t="s">
        <v>44</v>
      </c>
      <c r="O2" s="185"/>
      <c r="P2" s="185"/>
      <c r="Q2" s="4"/>
      <c r="R2" s="4"/>
      <c r="S2" s="4"/>
      <c r="T2" s="4"/>
      <c r="U2" s="4"/>
      <c r="V2" s="7"/>
    </row>
    <row r="3" spans="5:29" ht="14.25" customHeight="1" x14ac:dyDescent="0.2">
      <c r="E3" s="2"/>
      <c r="F3" s="173"/>
      <c r="G3" s="173"/>
      <c r="H3" s="173"/>
      <c r="I3" s="4"/>
      <c r="J3" s="229"/>
      <c r="K3" s="92"/>
      <c r="L3" s="4"/>
      <c r="M3" s="93"/>
      <c r="N3" s="185"/>
      <c r="O3" s="185"/>
      <c r="P3" s="185"/>
      <c r="Q3" s="4"/>
      <c r="R3" s="4"/>
      <c r="S3" s="4"/>
      <c r="T3" s="4"/>
      <c r="U3" s="4"/>
      <c r="V3" s="7"/>
    </row>
    <row r="4" spans="5:29" ht="14.25" customHeight="1" x14ac:dyDescent="0.2">
      <c r="E4" s="2"/>
      <c r="F4" s="173"/>
      <c r="G4" s="173"/>
      <c r="H4" s="173"/>
      <c r="I4" s="4"/>
      <c r="J4" s="4"/>
      <c r="K4" s="4"/>
      <c r="L4" s="4"/>
      <c r="M4" s="5"/>
      <c r="N4" s="4"/>
      <c r="O4" s="4"/>
      <c r="P4" s="4"/>
      <c r="Q4" s="4"/>
      <c r="R4" s="4"/>
      <c r="S4" s="4"/>
      <c r="T4" s="4"/>
      <c r="U4" s="4"/>
      <c r="V4" s="7"/>
    </row>
    <row r="5" spans="5:29" x14ac:dyDescent="0.2">
      <c r="E5" s="2"/>
      <c r="F5" s="215"/>
      <c r="G5" s="215"/>
      <c r="H5" s="215"/>
      <c r="I5" s="217" t="s">
        <v>2</v>
      </c>
      <c r="J5" s="218"/>
      <c r="K5" s="218"/>
      <c r="L5" s="218"/>
      <c r="M5" s="218"/>
      <c r="N5" s="219"/>
      <c r="O5" s="73"/>
      <c r="P5" s="217" t="s">
        <v>30</v>
      </c>
      <c r="Q5" s="218"/>
      <c r="R5" s="218"/>
      <c r="S5" s="218"/>
      <c r="T5" s="218"/>
      <c r="U5" s="219"/>
      <c r="V5" s="3"/>
    </row>
    <row r="6" spans="5:29" ht="66" x14ac:dyDescent="0.2">
      <c r="F6" s="12" t="s">
        <v>4</v>
      </c>
      <c r="G6" s="13" t="s">
        <v>5</v>
      </c>
      <c r="H6" s="12" t="s">
        <v>6</v>
      </c>
      <c r="I6" s="12" t="s">
        <v>7</v>
      </c>
      <c r="J6" s="12" t="s">
        <v>8</v>
      </c>
      <c r="K6" s="12" t="s">
        <v>9</v>
      </c>
      <c r="L6" s="12" t="s">
        <v>38</v>
      </c>
      <c r="M6" s="12" t="s">
        <v>39</v>
      </c>
      <c r="N6" s="12" t="s">
        <v>12</v>
      </c>
      <c r="O6" s="12"/>
      <c r="P6" s="12" t="s">
        <v>7</v>
      </c>
      <c r="Q6" s="12" t="s">
        <v>8</v>
      </c>
      <c r="R6" s="12" t="s">
        <v>9</v>
      </c>
      <c r="S6" s="12" t="s">
        <v>38</v>
      </c>
      <c r="T6" s="12" t="s">
        <v>39</v>
      </c>
      <c r="U6" s="12" t="s">
        <v>12</v>
      </c>
      <c r="V6" s="12" t="s">
        <v>14</v>
      </c>
    </row>
    <row r="7" spans="5:29" x14ac:dyDescent="0.2">
      <c r="F7" s="74" t="s">
        <v>40</v>
      </c>
      <c r="G7" s="54">
        <v>1.5</v>
      </c>
      <c r="H7" s="16" t="s">
        <v>16</v>
      </c>
      <c r="I7" s="67">
        <f>'[1]Sew_New_PP_Dn250_H=1.5 m'!AA12</f>
        <v>260.73618235853144</v>
      </c>
      <c r="J7" s="67">
        <f>'[1]Sew_New_PP_Dn250_H=1.5 m'!AN12</f>
        <v>334.84234872107658</v>
      </c>
      <c r="K7" s="75">
        <f>(J7-I7)/J7</f>
        <v>0.2213165886740196</v>
      </c>
      <c r="L7" s="76">
        <f>[1]SEWERAGE_Reinstatement!$D$18</f>
        <v>174.76598165888828</v>
      </c>
      <c r="M7" s="21">
        <v>1.2</v>
      </c>
      <c r="N7" s="20">
        <f>J7+M7*1*L7</f>
        <v>544.56152671174254</v>
      </c>
      <c r="O7" s="20"/>
      <c r="P7" s="220" t="s">
        <v>20</v>
      </c>
      <c r="Q7" s="221"/>
      <c r="R7" s="221"/>
      <c r="S7" s="221"/>
      <c r="T7" s="221"/>
      <c r="U7" s="222"/>
      <c r="V7" s="22"/>
      <c r="AB7" s="1"/>
      <c r="AC7" s="1"/>
    </row>
    <row r="8" spans="5:29" x14ac:dyDescent="0.2">
      <c r="F8" s="74" t="s">
        <v>40</v>
      </c>
      <c r="G8" s="54">
        <v>1.5</v>
      </c>
      <c r="H8" s="16" t="s">
        <v>17</v>
      </c>
      <c r="I8" s="21">
        <f>I7</f>
        <v>260.73618235853144</v>
      </c>
      <c r="J8" s="21">
        <f>J7</f>
        <v>334.84234872107658</v>
      </c>
      <c r="K8" s="77">
        <f>K7</f>
        <v>0.2213165886740196</v>
      </c>
      <c r="L8" s="76">
        <f>[1]SEWERAGE_Reinstatement!$Q$18</f>
        <v>173.73799860249881</v>
      </c>
      <c r="M8" s="21">
        <v>1.2</v>
      </c>
      <c r="N8" s="20">
        <f t="shared" ref="N8:N10" si="0">J8+M8*1*L8</f>
        <v>543.32794704407513</v>
      </c>
      <c r="O8" s="20"/>
      <c r="P8" s="223"/>
      <c r="Q8" s="224"/>
      <c r="R8" s="224"/>
      <c r="S8" s="224"/>
      <c r="T8" s="224"/>
      <c r="U8" s="225"/>
      <c r="V8" s="24"/>
      <c r="AB8" s="78"/>
      <c r="AC8" s="1"/>
    </row>
    <row r="9" spans="5:29" x14ac:dyDescent="0.2">
      <c r="F9" s="74" t="s">
        <v>40</v>
      </c>
      <c r="G9" s="54">
        <v>1.5</v>
      </c>
      <c r="H9" s="16" t="s">
        <v>18</v>
      </c>
      <c r="I9" s="21">
        <f>I7</f>
        <v>260.73618235853144</v>
      </c>
      <c r="J9" s="21">
        <f>J7</f>
        <v>334.84234872107658</v>
      </c>
      <c r="K9" s="77">
        <f>K7</f>
        <v>0.2213165886740196</v>
      </c>
      <c r="L9" s="76">
        <f>[1]SEWERAGE_Reinstatement!$AD$18</f>
        <v>73.219438056153251</v>
      </c>
      <c r="M9" s="21">
        <v>1.2</v>
      </c>
      <c r="N9" s="20">
        <f t="shared" si="0"/>
        <v>422.70567438846047</v>
      </c>
      <c r="O9" s="20"/>
      <c r="P9" s="223"/>
      <c r="Q9" s="224"/>
      <c r="R9" s="224"/>
      <c r="S9" s="224"/>
      <c r="T9" s="224"/>
      <c r="U9" s="225"/>
      <c r="V9" s="24"/>
      <c r="AB9" s="78"/>
      <c r="AC9" s="1"/>
    </row>
    <row r="10" spans="5:29" x14ac:dyDescent="0.2">
      <c r="F10" s="74" t="s">
        <v>40</v>
      </c>
      <c r="G10" s="54">
        <v>1.5</v>
      </c>
      <c r="H10" s="16" t="s">
        <v>19</v>
      </c>
      <c r="I10" s="21">
        <f>I7</f>
        <v>260.73618235853144</v>
      </c>
      <c r="J10" s="21">
        <f>J7</f>
        <v>334.84234872107658</v>
      </c>
      <c r="K10" s="77">
        <f>K7</f>
        <v>0.2213165886740196</v>
      </c>
      <c r="L10" s="76">
        <f>[1]SEWERAGE_Reinstatement!$AQ$18</f>
        <v>47.718076944013582</v>
      </c>
      <c r="M10" s="21">
        <v>1.2</v>
      </c>
      <c r="N10" s="20">
        <f t="shared" si="0"/>
        <v>392.10404105389284</v>
      </c>
      <c r="O10" s="20"/>
      <c r="P10" s="226"/>
      <c r="Q10" s="227"/>
      <c r="R10" s="227"/>
      <c r="S10" s="227"/>
      <c r="T10" s="227"/>
      <c r="U10" s="228"/>
      <c r="V10" s="24"/>
      <c r="AB10" s="78"/>
      <c r="AC10" s="1"/>
    </row>
    <row r="11" spans="5:29" x14ac:dyDescent="0.2">
      <c r="F11" s="79"/>
      <c r="G11" s="55"/>
      <c r="H11" s="27"/>
      <c r="I11" s="29"/>
      <c r="J11" s="29"/>
      <c r="K11" s="80"/>
      <c r="L11" s="27"/>
      <c r="M11" s="29"/>
      <c r="N11" s="44"/>
      <c r="O11" s="44"/>
      <c r="P11" s="44"/>
      <c r="Q11" s="44"/>
      <c r="R11" s="44"/>
      <c r="S11" s="44"/>
      <c r="T11" s="44"/>
      <c r="U11" s="44"/>
      <c r="V11" s="30"/>
      <c r="AB11" s="78"/>
      <c r="AC11" s="1"/>
    </row>
    <row r="12" spans="5:29" x14ac:dyDescent="0.2">
      <c r="F12" s="74" t="s">
        <v>40</v>
      </c>
      <c r="G12" s="81">
        <v>2</v>
      </c>
      <c r="H12" s="16" t="s">
        <v>16</v>
      </c>
      <c r="I12" s="67">
        <f>'[1]Sew_New_PP_Dn250_H=2.0 m'!AA12</f>
        <v>265.82969444024047</v>
      </c>
      <c r="J12" s="67">
        <f>'[1]Sew_New_PP_Dn250_H=2.0 m'!AM12</f>
        <v>328.70595596497509</v>
      </c>
      <c r="K12" s="75">
        <f>(J12-I12)/J12</f>
        <v>0.19128421734905932</v>
      </c>
      <c r="L12" s="76">
        <f>[1]SEWERAGE_Reinstatement!$D$18</f>
        <v>174.76598165888828</v>
      </c>
      <c r="M12" s="21">
        <v>1.2</v>
      </c>
      <c r="N12" s="20">
        <f t="shared" ref="N12:N15" si="1">J12+M12*1*L12</f>
        <v>538.42513395564106</v>
      </c>
      <c r="O12" s="20"/>
      <c r="P12" s="220" t="s">
        <v>20</v>
      </c>
      <c r="Q12" s="221"/>
      <c r="R12" s="221"/>
      <c r="S12" s="221"/>
      <c r="T12" s="221"/>
      <c r="U12" s="222"/>
      <c r="V12" s="24"/>
      <c r="AB12" s="78"/>
      <c r="AC12" s="1"/>
    </row>
    <row r="13" spans="5:29" x14ac:dyDescent="0.2">
      <c r="F13" s="74" t="s">
        <v>40</v>
      </c>
      <c r="G13" s="81">
        <v>2</v>
      </c>
      <c r="H13" s="16" t="s">
        <v>17</v>
      </c>
      <c r="I13" s="21">
        <f>I12</f>
        <v>265.82969444024047</v>
      </c>
      <c r="J13" s="21">
        <f>J12</f>
        <v>328.70595596497509</v>
      </c>
      <c r="K13" s="77">
        <f t="shared" ref="K13:K15" si="2">K12</f>
        <v>0.19128421734905932</v>
      </c>
      <c r="L13" s="76">
        <f>[1]SEWERAGE_Reinstatement!$Q$18</f>
        <v>173.73799860249881</v>
      </c>
      <c r="M13" s="21">
        <v>1.2</v>
      </c>
      <c r="N13" s="20">
        <f t="shared" si="1"/>
        <v>537.19155428797364</v>
      </c>
      <c r="O13" s="20"/>
      <c r="P13" s="223"/>
      <c r="Q13" s="224"/>
      <c r="R13" s="224"/>
      <c r="S13" s="224"/>
      <c r="T13" s="224"/>
      <c r="U13" s="225"/>
      <c r="V13" s="24"/>
    </row>
    <row r="14" spans="5:29" x14ac:dyDescent="0.2">
      <c r="F14" s="74" t="s">
        <v>40</v>
      </c>
      <c r="G14" s="81">
        <v>2</v>
      </c>
      <c r="H14" s="16" t="s">
        <v>18</v>
      </c>
      <c r="I14" s="21">
        <f>I12</f>
        <v>265.82969444024047</v>
      </c>
      <c r="J14" s="21">
        <f>J12</f>
        <v>328.70595596497509</v>
      </c>
      <c r="K14" s="77">
        <f t="shared" si="2"/>
        <v>0.19128421734905932</v>
      </c>
      <c r="L14" s="76">
        <f>[1]SEWERAGE_Reinstatement!$AD$18</f>
        <v>73.219438056153251</v>
      </c>
      <c r="M14" s="21">
        <v>1.2</v>
      </c>
      <c r="N14" s="20">
        <f t="shared" si="1"/>
        <v>416.56928163235898</v>
      </c>
      <c r="O14" s="20"/>
      <c r="P14" s="223"/>
      <c r="Q14" s="224"/>
      <c r="R14" s="224"/>
      <c r="S14" s="224"/>
      <c r="T14" s="224"/>
      <c r="U14" s="225"/>
      <c r="V14" s="24"/>
    </row>
    <row r="15" spans="5:29" x14ac:dyDescent="0.2">
      <c r="F15" s="74" t="s">
        <v>40</v>
      </c>
      <c r="G15" s="81">
        <v>2</v>
      </c>
      <c r="H15" s="16" t="s">
        <v>19</v>
      </c>
      <c r="I15" s="21">
        <f>I12</f>
        <v>265.82969444024047</v>
      </c>
      <c r="J15" s="21">
        <f>J12</f>
        <v>328.70595596497509</v>
      </c>
      <c r="K15" s="77">
        <f t="shared" si="2"/>
        <v>0.19128421734905932</v>
      </c>
      <c r="L15" s="76">
        <f>[1]SEWERAGE_Reinstatement!$AQ$18</f>
        <v>47.718076944013582</v>
      </c>
      <c r="M15" s="21">
        <v>1.2</v>
      </c>
      <c r="N15" s="20">
        <f t="shared" si="1"/>
        <v>385.96764829779136</v>
      </c>
      <c r="O15" s="20"/>
      <c r="P15" s="226"/>
      <c r="Q15" s="227"/>
      <c r="R15" s="227"/>
      <c r="S15" s="227"/>
      <c r="T15" s="227"/>
      <c r="U15" s="228"/>
      <c r="V15" s="24"/>
    </row>
    <row r="16" spans="5:29" x14ac:dyDescent="0.2">
      <c r="F16" s="79"/>
      <c r="G16" s="55"/>
      <c r="H16" s="27"/>
      <c r="I16" s="29"/>
      <c r="J16" s="29"/>
      <c r="K16" s="80"/>
      <c r="L16" s="44"/>
      <c r="M16" s="29"/>
      <c r="N16" s="44"/>
      <c r="O16" s="44"/>
      <c r="P16" s="44"/>
      <c r="Q16" s="44"/>
      <c r="R16" s="44"/>
      <c r="S16" s="44"/>
      <c r="T16" s="44"/>
      <c r="U16" s="44"/>
      <c r="V16" s="30"/>
    </row>
    <row r="17" spans="6:22" x14ac:dyDescent="0.2">
      <c r="F17" s="74" t="s">
        <v>40</v>
      </c>
      <c r="G17" s="54">
        <v>2.5</v>
      </c>
      <c r="H17" s="16" t="s">
        <v>16</v>
      </c>
      <c r="I17" s="67">
        <f>'[1]Sew_New_PP_Dn250_H=2.5 m'!AA12</f>
        <v>272.10979049059046</v>
      </c>
      <c r="J17" s="67">
        <f>'[1]Sew_New_PP_Dn250_H=2.5 m'!AN12</f>
        <v>379.36701246256354</v>
      </c>
      <c r="K17" s="75">
        <f>(J17-I17)/J17</f>
        <v>0.28272680135191608</v>
      </c>
      <c r="L17" s="76">
        <f>[1]SEWERAGE_Reinstatement!$D$18</f>
        <v>174.76598165888828</v>
      </c>
      <c r="M17" s="21">
        <v>1.2</v>
      </c>
      <c r="N17" s="20">
        <f t="shared" ref="N17:N20" si="3">J17+M17*1*L17</f>
        <v>589.08619045322951</v>
      </c>
      <c r="O17" s="20"/>
      <c r="P17" s="220" t="s">
        <v>20</v>
      </c>
      <c r="Q17" s="221"/>
      <c r="R17" s="221"/>
      <c r="S17" s="221"/>
      <c r="T17" s="221"/>
      <c r="U17" s="222"/>
      <c r="V17" s="24"/>
    </row>
    <row r="18" spans="6:22" x14ac:dyDescent="0.2">
      <c r="F18" s="74" t="s">
        <v>40</v>
      </c>
      <c r="G18" s="54">
        <v>2.5</v>
      </c>
      <c r="H18" s="16" t="s">
        <v>17</v>
      </c>
      <c r="I18" s="21">
        <f>I17</f>
        <v>272.10979049059046</v>
      </c>
      <c r="J18" s="21">
        <f>J17</f>
        <v>379.36701246256354</v>
      </c>
      <c r="K18" s="77">
        <f>K17</f>
        <v>0.28272680135191608</v>
      </c>
      <c r="L18" s="76">
        <f>[1]SEWERAGE_Reinstatement!$Q$18</f>
        <v>173.73799860249881</v>
      </c>
      <c r="M18" s="21">
        <v>1.2</v>
      </c>
      <c r="N18" s="20">
        <f t="shared" si="3"/>
        <v>587.85261078556209</v>
      </c>
      <c r="O18" s="20"/>
      <c r="P18" s="223"/>
      <c r="Q18" s="224"/>
      <c r="R18" s="224"/>
      <c r="S18" s="224"/>
      <c r="T18" s="224"/>
      <c r="U18" s="225"/>
      <c r="V18" s="24"/>
    </row>
    <row r="19" spans="6:22" x14ac:dyDescent="0.2">
      <c r="F19" s="74" t="s">
        <v>40</v>
      </c>
      <c r="G19" s="54">
        <v>2.5</v>
      </c>
      <c r="H19" s="16" t="s">
        <v>18</v>
      </c>
      <c r="I19" s="21">
        <f>I17</f>
        <v>272.10979049059046</v>
      </c>
      <c r="J19" s="21">
        <f>J17</f>
        <v>379.36701246256354</v>
      </c>
      <c r="K19" s="77">
        <f>K17</f>
        <v>0.28272680135191608</v>
      </c>
      <c r="L19" s="76">
        <f>[1]SEWERAGE_Reinstatement!$AD$18</f>
        <v>73.219438056153251</v>
      </c>
      <c r="M19" s="21">
        <v>1.2</v>
      </c>
      <c r="N19" s="20">
        <f t="shared" si="3"/>
        <v>467.23033812994743</v>
      </c>
      <c r="O19" s="20"/>
      <c r="P19" s="223"/>
      <c r="Q19" s="224"/>
      <c r="R19" s="224"/>
      <c r="S19" s="224"/>
      <c r="T19" s="224"/>
      <c r="U19" s="225"/>
      <c r="V19" s="24"/>
    </row>
    <row r="20" spans="6:22" x14ac:dyDescent="0.2">
      <c r="F20" s="74" t="s">
        <v>40</v>
      </c>
      <c r="G20" s="54">
        <v>2.5</v>
      </c>
      <c r="H20" s="16" t="s">
        <v>19</v>
      </c>
      <c r="I20" s="21">
        <f>I17</f>
        <v>272.10979049059046</v>
      </c>
      <c r="J20" s="21">
        <f>J17</f>
        <v>379.36701246256354</v>
      </c>
      <c r="K20" s="77">
        <f>K17</f>
        <v>0.28272680135191608</v>
      </c>
      <c r="L20" s="76">
        <f>[1]SEWERAGE_Reinstatement!$AQ$18</f>
        <v>47.718076944013582</v>
      </c>
      <c r="M20" s="21">
        <v>1.2</v>
      </c>
      <c r="N20" s="20">
        <f t="shared" si="3"/>
        <v>436.6287047953798</v>
      </c>
      <c r="O20" s="20"/>
      <c r="P20" s="226"/>
      <c r="Q20" s="227"/>
      <c r="R20" s="227"/>
      <c r="S20" s="227"/>
      <c r="T20" s="227"/>
      <c r="U20" s="228"/>
      <c r="V20" s="24"/>
    </row>
    <row r="21" spans="6:22" x14ac:dyDescent="0.2">
      <c r="F21" s="82"/>
      <c r="I21" s="47"/>
      <c r="J21" s="47"/>
      <c r="K21" s="49"/>
      <c r="L21" s="46"/>
      <c r="M21" s="29"/>
      <c r="N21" s="46"/>
      <c r="O21" s="46"/>
      <c r="P21" s="46"/>
      <c r="Q21" s="46"/>
      <c r="R21" s="46"/>
      <c r="S21" s="46"/>
      <c r="T21" s="46"/>
      <c r="U21" s="46"/>
    </row>
    <row r="22" spans="6:22" x14ac:dyDescent="0.2">
      <c r="F22" s="74" t="s">
        <v>40</v>
      </c>
      <c r="G22" s="54">
        <v>3</v>
      </c>
      <c r="H22" s="16" t="s">
        <v>16</v>
      </c>
      <c r="I22" s="67">
        <f>'[1]Sew_New_PP_Dn250_H=3.0 m'!AA12</f>
        <v>278.94002998648591</v>
      </c>
      <c r="J22" s="67">
        <f>'[1]Sew_New_PP_Dn250_H=3.0 m'!AM15</f>
        <v>484.04441243208475</v>
      </c>
      <c r="K22" s="75">
        <f>(J22-I22)/J22</f>
        <v>0.42373050318885069</v>
      </c>
      <c r="L22" s="76">
        <f>[1]SEWERAGE_Reinstatement!$D$18</f>
        <v>174.76598165888828</v>
      </c>
      <c r="M22" s="21">
        <v>1.2</v>
      </c>
      <c r="N22" s="20">
        <f t="shared" ref="N22:N25" si="4">J22+M22*1*L22</f>
        <v>693.76359042275067</v>
      </c>
      <c r="O22" s="20"/>
      <c r="P22" s="67">
        <f>'[1]Sew_New_PP_Dn250_H=3.0 m'!AA12</f>
        <v>278.94002998648591</v>
      </c>
      <c r="Q22" s="67">
        <f>'[1]Sew_New_PP_Dn250_H=3.0 m'!AM14</f>
        <v>371.88749058958103</v>
      </c>
      <c r="R22" s="75">
        <f>(Q22-P22)/Q22</f>
        <v>0.24993435637143527</v>
      </c>
      <c r="S22" s="76">
        <f>[1]SEWERAGE_Reinstatement!$D$18</f>
        <v>174.76598165888828</v>
      </c>
      <c r="T22" s="21">
        <v>1.2</v>
      </c>
      <c r="U22" s="20">
        <f t="shared" ref="U22:U25" si="5">Q22+T22*1*S22</f>
        <v>581.60666858024695</v>
      </c>
      <c r="V22" s="203" t="s">
        <v>33</v>
      </c>
    </row>
    <row r="23" spans="6:22" x14ac:dyDescent="0.2">
      <c r="F23" s="74" t="s">
        <v>40</v>
      </c>
      <c r="G23" s="54">
        <v>3</v>
      </c>
      <c r="H23" s="16" t="s">
        <v>17</v>
      </c>
      <c r="I23" s="76">
        <f>I22</f>
        <v>278.94002998648591</v>
      </c>
      <c r="J23" s="76">
        <f>J22</f>
        <v>484.04441243208475</v>
      </c>
      <c r="K23" s="77">
        <f>K22</f>
        <v>0.42373050318885069</v>
      </c>
      <c r="L23" s="76">
        <f>[1]SEWERAGE_Reinstatement!$Q$18</f>
        <v>173.73799860249881</v>
      </c>
      <c r="M23" s="21">
        <v>1.2</v>
      </c>
      <c r="N23" s="20">
        <f t="shared" si="4"/>
        <v>692.53001075508337</v>
      </c>
      <c r="O23" s="20"/>
      <c r="P23" s="76">
        <f>P22</f>
        <v>278.94002998648591</v>
      </c>
      <c r="Q23" s="76">
        <f>Q22</f>
        <v>371.88749058958103</v>
      </c>
      <c r="R23" s="77">
        <f>R22</f>
        <v>0.24993435637143527</v>
      </c>
      <c r="S23" s="76">
        <f>[1]SEWERAGE_Reinstatement!$Q$18</f>
        <v>173.73799860249881</v>
      </c>
      <c r="T23" s="21">
        <v>1.2</v>
      </c>
      <c r="U23" s="20">
        <f t="shared" si="5"/>
        <v>580.37308891257953</v>
      </c>
      <c r="V23" s="204"/>
    </row>
    <row r="24" spans="6:22" x14ac:dyDescent="0.2">
      <c r="F24" s="74" t="s">
        <v>40</v>
      </c>
      <c r="G24" s="54">
        <v>3</v>
      </c>
      <c r="H24" s="16" t="s">
        <v>18</v>
      </c>
      <c r="I24" s="76">
        <f>I22</f>
        <v>278.94002998648591</v>
      </c>
      <c r="J24" s="76">
        <f>J22</f>
        <v>484.04441243208475</v>
      </c>
      <c r="K24" s="77">
        <f>K22</f>
        <v>0.42373050318885069</v>
      </c>
      <c r="L24" s="76">
        <f>[1]SEWERAGE_Reinstatement!$AD$18</f>
        <v>73.219438056153251</v>
      </c>
      <c r="M24" s="21">
        <v>1.2</v>
      </c>
      <c r="N24" s="20">
        <f t="shared" si="4"/>
        <v>571.9077380994687</v>
      </c>
      <c r="O24" s="20"/>
      <c r="P24" s="76">
        <f>P22</f>
        <v>278.94002998648591</v>
      </c>
      <c r="Q24" s="76">
        <f>Q22</f>
        <v>371.88749058958103</v>
      </c>
      <c r="R24" s="77">
        <f>R22</f>
        <v>0.24993435637143527</v>
      </c>
      <c r="S24" s="76">
        <f>[1]SEWERAGE_Reinstatement!$AD$18</f>
        <v>73.219438056153251</v>
      </c>
      <c r="T24" s="21">
        <v>1.2</v>
      </c>
      <c r="U24" s="20">
        <f t="shared" si="5"/>
        <v>459.75081625696492</v>
      </c>
      <c r="V24" s="204"/>
    </row>
    <row r="25" spans="6:22" x14ac:dyDescent="0.2">
      <c r="F25" s="74" t="s">
        <v>40</v>
      </c>
      <c r="G25" s="54">
        <v>3</v>
      </c>
      <c r="H25" s="16" t="s">
        <v>19</v>
      </c>
      <c r="I25" s="76">
        <f>I22</f>
        <v>278.94002998648591</v>
      </c>
      <c r="J25" s="76">
        <f>J22</f>
        <v>484.04441243208475</v>
      </c>
      <c r="K25" s="77">
        <f>K22</f>
        <v>0.42373050318885069</v>
      </c>
      <c r="L25" s="76">
        <f>[1]SEWERAGE_Reinstatement!$AQ$18</f>
        <v>47.718076944013582</v>
      </c>
      <c r="M25" s="21">
        <v>1.2</v>
      </c>
      <c r="N25" s="20">
        <f t="shared" si="4"/>
        <v>541.30610476490108</v>
      </c>
      <c r="O25" s="20"/>
      <c r="P25" s="76">
        <f>P22</f>
        <v>278.94002998648591</v>
      </c>
      <c r="Q25" s="76">
        <f>Q22</f>
        <v>371.88749058958103</v>
      </c>
      <c r="R25" s="77">
        <f>R22</f>
        <v>0.24993435637143527</v>
      </c>
      <c r="S25" s="76">
        <f>[1]SEWERAGE_Reinstatement!$AQ$18</f>
        <v>47.718076944013582</v>
      </c>
      <c r="T25" s="21">
        <v>1.2</v>
      </c>
      <c r="U25" s="20">
        <f t="shared" si="5"/>
        <v>429.14918292239736</v>
      </c>
      <c r="V25" s="205"/>
    </row>
    <row r="26" spans="6:22" x14ac:dyDescent="0.2">
      <c r="F26" s="84"/>
      <c r="G26" s="85"/>
      <c r="H26" s="33"/>
      <c r="I26" s="36"/>
      <c r="J26" s="36"/>
      <c r="K26" s="86"/>
      <c r="L26" s="35"/>
      <c r="M26" s="36"/>
      <c r="N26" s="35"/>
      <c r="O26" s="35"/>
      <c r="P26" s="35"/>
      <c r="Q26" s="35"/>
      <c r="R26" s="35"/>
      <c r="S26" s="35"/>
      <c r="T26" s="35"/>
      <c r="U26" s="35"/>
      <c r="V26" s="87"/>
    </row>
    <row r="27" spans="6:22" s="59" customFormat="1" x14ac:dyDescent="0.2">
      <c r="F27" s="88"/>
      <c r="G27" s="89"/>
      <c r="K27" s="90"/>
      <c r="M27" s="62"/>
      <c r="V27" s="91"/>
    </row>
    <row r="28" spans="6:22" s="59" customFormat="1" x14ac:dyDescent="0.2">
      <c r="F28" s="88"/>
      <c r="G28" s="89"/>
      <c r="K28" s="90"/>
      <c r="M28" s="62"/>
      <c r="V28" s="91"/>
    </row>
    <row r="29" spans="6:22" s="59" customFormat="1" x14ac:dyDescent="0.2">
      <c r="F29" s="88"/>
      <c r="G29" s="89"/>
      <c r="K29" s="90"/>
      <c r="M29" s="62"/>
      <c r="V29" s="91"/>
    </row>
    <row r="30" spans="6:22" s="59" customFormat="1" x14ac:dyDescent="0.2">
      <c r="F30" s="88"/>
      <c r="G30" s="89"/>
      <c r="K30" s="90"/>
      <c r="M30" s="62"/>
      <c r="V30" s="91"/>
    </row>
    <row r="31" spans="6:22" s="59" customFormat="1" x14ac:dyDescent="0.2">
      <c r="F31" s="88"/>
      <c r="G31" s="89"/>
      <c r="K31" s="90"/>
      <c r="M31" s="62"/>
    </row>
    <row r="32" spans="6:22" s="59" customFormat="1" x14ac:dyDescent="0.2">
      <c r="F32" s="88"/>
      <c r="G32" s="89"/>
      <c r="K32" s="90"/>
      <c r="M32" s="62"/>
      <c r="V32" s="91"/>
    </row>
    <row r="33" spans="6:22" s="59" customFormat="1" x14ac:dyDescent="0.2">
      <c r="F33" s="88"/>
      <c r="G33" s="89"/>
      <c r="K33" s="90"/>
      <c r="M33" s="62"/>
      <c r="V33" s="91"/>
    </row>
    <row r="34" spans="6:22" s="59" customFormat="1" x14ac:dyDescent="0.2">
      <c r="F34" s="88"/>
      <c r="G34" s="89"/>
      <c r="K34" s="90"/>
      <c r="M34" s="62"/>
      <c r="V34" s="91"/>
    </row>
    <row r="35" spans="6:22" s="59" customFormat="1" x14ac:dyDescent="0.2">
      <c r="F35" s="88"/>
      <c r="G35" s="89"/>
      <c r="K35" s="90"/>
      <c r="M35" s="62"/>
      <c r="V35" s="91"/>
    </row>
    <row r="36" spans="6:22" s="59" customFormat="1" x14ac:dyDescent="0.2">
      <c r="F36" s="88"/>
      <c r="G36" s="89"/>
      <c r="K36" s="90"/>
      <c r="M36" s="62"/>
      <c r="V36" s="91"/>
    </row>
    <row r="37" spans="6:22" s="59" customFormat="1" x14ac:dyDescent="0.2">
      <c r="F37" s="88"/>
      <c r="G37" s="89"/>
      <c r="K37" s="90"/>
      <c r="M37" s="62"/>
      <c r="V37" s="91"/>
    </row>
    <row r="38" spans="6:22" s="59" customFormat="1" x14ac:dyDescent="0.2">
      <c r="F38" s="88"/>
      <c r="G38" s="89"/>
      <c r="K38" s="90"/>
      <c r="M38" s="62"/>
      <c r="V38" s="91"/>
    </row>
    <row r="39" spans="6:22" s="59" customFormat="1" x14ac:dyDescent="0.2">
      <c r="F39" s="88"/>
      <c r="G39" s="89"/>
      <c r="K39" s="90"/>
      <c r="M39" s="62"/>
      <c r="V39" s="91"/>
    </row>
    <row r="40" spans="6:22" s="59" customFormat="1" x14ac:dyDescent="0.2">
      <c r="F40" s="88"/>
      <c r="G40" s="89"/>
      <c r="K40" s="90"/>
      <c r="M40" s="62"/>
      <c r="V40" s="91"/>
    </row>
    <row r="41" spans="6:22" s="59" customFormat="1" x14ac:dyDescent="0.2">
      <c r="F41" s="88"/>
      <c r="G41" s="89"/>
      <c r="K41" s="90"/>
      <c r="M41" s="62"/>
      <c r="V41" s="91"/>
    </row>
    <row r="42" spans="6:22" s="59" customFormat="1" x14ac:dyDescent="0.2">
      <c r="F42" s="88"/>
      <c r="G42" s="89"/>
      <c r="K42" s="90"/>
      <c r="M42" s="62"/>
      <c r="V42" s="91"/>
    </row>
    <row r="43" spans="6:22" s="59" customFormat="1" x14ac:dyDescent="0.2">
      <c r="F43" s="88"/>
      <c r="G43" s="89"/>
      <c r="K43" s="90"/>
      <c r="M43" s="62"/>
      <c r="V43" s="91"/>
    </row>
    <row r="44" spans="6:22" s="59" customFormat="1" x14ac:dyDescent="0.2">
      <c r="F44" s="88"/>
      <c r="G44" s="89"/>
      <c r="K44" s="90"/>
      <c r="M44" s="62"/>
      <c r="V44" s="91"/>
    </row>
    <row r="45" spans="6:22" s="59" customFormat="1" x14ac:dyDescent="0.2">
      <c r="G45" s="89"/>
      <c r="K45" s="90"/>
      <c r="M45" s="62"/>
      <c r="V45" s="91"/>
    </row>
    <row r="46" spans="6:22" s="59" customFormat="1" x14ac:dyDescent="0.2">
      <c r="G46" s="89"/>
      <c r="K46" s="90"/>
      <c r="M46" s="62"/>
    </row>
    <row r="47" spans="6:22" s="59" customFormat="1" x14ac:dyDescent="0.2">
      <c r="G47" s="89"/>
      <c r="K47" s="90"/>
      <c r="M47" s="62"/>
      <c r="V47" s="91"/>
    </row>
    <row r="48" spans="6:22" s="59" customFormat="1" x14ac:dyDescent="0.2">
      <c r="G48" s="89"/>
      <c r="K48" s="90"/>
      <c r="M48" s="62"/>
      <c r="V48" s="91"/>
    </row>
    <row r="49" spans="7:22" s="59" customFormat="1" x14ac:dyDescent="0.2">
      <c r="G49" s="89"/>
      <c r="K49" s="90"/>
      <c r="M49" s="62"/>
      <c r="V49" s="91"/>
    </row>
    <row r="50" spans="7:22" s="59" customFormat="1" x14ac:dyDescent="0.2">
      <c r="G50" s="89"/>
      <c r="K50" s="90"/>
      <c r="M50" s="62"/>
      <c r="V50" s="91"/>
    </row>
    <row r="51" spans="7:22" s="59" customFormat="1" x14ac:dyDescent="0.2">
      <c r="G51" s="89"/>
      <c r="K51" s="90"/>
      <c r="M51" s="62"/>
      <c r="V51" s="91"/>
    </row>
    <row r="52" spans="7:22" s="59" customFormat="1" x14ac:dyDescent="0.2">
      <c r="G52" s="89"/>
      <c r="K52" s="90"/>
      <c r="M52" s="62"/>
      <c r="V52" s="91"/>
    </row>
    <row r="53" spans="7:22" s="59" customFormat="1" x14ac:dyDescent="0.2">
      <c r="G53" s="89"/>
      <c r="K53" s="90"/>
      <c r="M53" s="62"/>
      <c r="V53" s="91"/>
    </row>
    <row r="54" spans="7:22" s="59" customFormat="1" x14ac:dyDescent="0.2">
      <c r="G54" s="89"/>
      <c r="K54" s="90"/>
      <c r="M54" s="62"/>
      <c r="V54" s="91"/>
    </row>
    <row r="55" spans="7:22" s="59" customFormat="1" x14ac:dyDescent="0.2">
      <c r="G55" s="89"/>
      <c r="K55" s="90"/>
      <c r="M55" s="62"/>
      <c r="V55" s="91"/>
    </row>
    <row r="56" spans="7:22" s="59" customFormat="1" x14ac:dyDescent="0.2">
      <c r="G56" s="89"/>
      <c r="K56" s="90"/>
      <c r="M56" s="62"/>
      <c r="V56" s="91"/>
    </row>
    <row r="57" spans="7:22" s="59" customFormat="1" x14ac:dyDescent="0.2">
      <c r="G57" s="89"/>
      <c r="K57" s="90"/>
      <c r="M57" s="62"/>
      <c r="V57" s="91"/>
    </row>
    <row r="58" spans="7:22" s="59" customFormat="1" x14ac:dyDescent="0.2">
      <c r="G58" s="89"/>
      <c r="K58" s="90"/>
      <c r="M58" s="62"/>
      <c r="V58" s="91"/>
    </row>
    <row r="59" spans="7:22" s="59" customFormat="1" x14ac:dyDescent="0.2">
      <c r="G59" s="89"/>
      <c r="K59" s="90"/>
      <c r="M59" s="62"/>
      <c r="V59" s="91"/>
    </row>
    <row r="60" spans="7:22" s="59" customFormat="1" x14ac:dyDescent="0.2">
      <c r="G60" s="89"/>
      <c r="K60" s="90"/>
      <c r="M60" s="62"/>
      <c r="V60" s="91"/>
    </row>
    <row r="61" spans="7:22" s="59" customFormat="1" x14ac:dyDescent="0.2">
      <c r="G61" s="89"/>
      <c r="K61" s="90"/>
      <c r="M61" s="62"/>
    </row>
    <row r="62" spans="7:22" s="59" customFormat="1" x14ac:dyDescent="0.2">
      <c r="G62" s="89"/>
      <c r="K62" s="90"/>
      <c r="M62" s="62"/>
      <c r="V62" s="91"/>
    </row>
    <row r="63" spans="7:22" s="59" customFormat="1" x14ac:dyDescent="0.2">
      <c r="G63" s="89"/>
      <c r="K63" s="90"/>
      <c r="M63" s="62"/>
      <c r="V63" s="91"/>
    </row>
    <row r="64" spans="7:22" s="59" customFormat="1" x14ac:dyDescent="0.2">
      <c r="G64" s="89"/>
      <c r="K64" s="90"/>
      <c r="M64" s="62"/>
      <c r="V64" s="91"/>
    </row>
    <row r="65" spans="7:22" s="59" customFormat="1" x14ac:dyDescent="0.2">
      <c r="G65" s="89"/>
      <c r="K65" s="90"/>
      <c r="M65" s="62"/>
      <c r="V65" s="91"/>
    </row>
    <row r="66" spans="7:22" s="59" customFormat="1" x14ac:dyDescent="0.2">
      <c r="G66" s="89"/>
      <c r="K66" s="90"/>
      <c r="M66" s="62"/>
      <c r="V66" s="91"/>
    </row>
    <row r="67" spans="7:22" s="59" customFormat="1" x14ac:dyDescent="0.2">
      <c r="G67" s="89"/>
      <c r="K67" s="90"/>
      <c r="M67" s="62"/>
      <c r="V67" s="91"/>
    </row>
    <row r="68" spans="7:22" s="59" customFormat="1" x14ac:dyDescent="0.2">
      <c r="G68" s="89"/>
      <c r="K68" s="90"/>
      <c r="M68" s="62"/>
      <c r="V68" s="91"/>
    </row>
    <row r="69" spans="7:22" s="59" customFormat="1" x14ac:dyDescent="0.2">
      <c r="G69" s="89"/>
      <c r="K69" s="90"/>
      <c r="M69" s="62"/>
      <c r="V69" s="91"/>
    </row>
    <row r="70" spans="7:22" s="59" customFormat="1" x14ac:dyDescent="0.2">
      <c r="G70" s="89"/>
      <c r="K70" s="90"/>
      <c r="M70" s="62"/>
      <c r="V70" s="91"/>
    </row>
    <row r="71" spans="7:22" s="59" customFormat="1" x14ac:dyDescent="0.2">
      <c r="G71" s="89"/>
      <c r="K71" s="90"/>
      <c r="M71" s="62"/>
      <c r="V71" s="91"/>
    </row>
    <row r="72" spans="7:22" s="59" customFormat="1" x14ac:dyDescent="0.2">
      <c r="G72" s="89"/>
      <c r="K72" s="90"/>
      <c r="M72" s="62"/>
      <c r="V72" s="91"/>
    </row>
    <row r="73" spans="7:22" s="59" customFormat="1" x14ac:dyDescent="0.2">
      <c r="G73" s="89"/>
      <c r="K73" s="90"/>
      <c r="M73" s="62"/>
      <c r="V73" s="91"/>
    </row>
    <row r="74" spans="7:22" s="59" customFormat="1" x14ac:dyDescent="0.2">
      <c r="G74" s="89"/>
      <c r="K74" s="90"/>
      <c r="M74" s="62"/>
      <c r="V74" s="91"/>
    </row>
    <row r="75" spans="7:22" s="59" customFormat="1" x14ac:dyDescent="0.2">
      <c r="G75" s="89"/>
      <c r="K75" s="90"/>
      <c r="M75" s="62"/>
      <c r="V75" s="91"/>
    </row>
    <row r="76" spans="7:22" s="59" customFormat="1" x14ac:dyDescent="0.2">
      <c r="G76" s="89"/>
      <c r="K76" s="90"/>
      <c r="M76" s="62"/>
    </row>
    <row r="77" spans="7:22" s="59" customFormat="1" x14ac:dyDescent="0.2">
      <c r="G77" s="89"/>
      <c r="K77" s="90"/>
      <c r="M77" s="62"/>
    </row>
    <row r="78" spans="7:22" s="59" customFormat="1" x14ac:dyDescent="0.2">
      <c r="G78" s="89"/>
      <c r="K78" s="90"/>
      <c r="M78" s="62"/>
    </row>
  </sheetData>
  <mergeCells count="9">
    <mergeCell ref="P12:U15"/>
    <mergeCell ref="P17:U20"/>
    <mergeCell ref="V22:V25"/>
    <mergeCell ref="F1:H5"/>
    <mergeCell ref="J2:J3"/>
    <mergeCell ref="N2:P3"/>
    <mergeCell ref="I5:N5"/>
    <mergeCell ref="P5:U5"/>
    <mergeCell ref="P7:U10"/>
  </mergeCells>
  <pageMargins left="0.7" right="0.7" top="0.75" bottom="0.75" header="0.3" footer="0.3"/>
  <pageSetup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E1:AB98"/>
  <sheetViews>
    <sheetView zoomScale="75" zoomScaleNormal="75" workbookViewId="0">
      <selection activeCell="Y19" sqref="Y19"/>
    </sheetView>
  </sheetViews>
  <sheetFormatPr baseColWidth="10" defaultColWidth="8.83203125" defaultRowHeight="15" x14ac:dyDescent="0.2"/>
  <cols>
    <col min="6" max="6" width="10.6640625" customWidth="1"/>
    <col min="7" max="7" width="7.1640625" style="50" customWidth="1"/>
    <col min="8" max="8" width="12.33203125" customWidth="1"/>
    <col min="9" max="9" width="7.83203125" bestFit="1" customWidth="1"/>
    <col min="10" max="10" width="10.6640625" customWidth="1"/>
    <col min="11" max="11" width="10.1640625" bestFit="1" customWidth="1"/>
    <col min="12" max="12" width="9.83203125" customWidth="1"/>
    <col min="13" max="13" width="8.5" style="47" customWidth="1"/>
    <col min="14" max="15" width="10.5" customWidth="1"/>
    <col min="16" max="16" width="2" customWidth="1"/>
    <col min="17" max="17" width="9" bestFit="1" customWidth="1"/>
    <col min="18" max="18" width="9.6640625" customWidth="1"/>
    <col min="19" max="19" width="10.5" customWidth="1"/>
    <col min="20" max="20" width="10.33203125" customWidth="1"/>
    <col min="21" max="21" width="7.5" customWidth="1"/>
    <col min="22" max="22" width="9.83203125" customWidth="1"/>
    <col min="23" max="23" width="21" customWidth="1"/>
  </cols>
  <sheetData>
    <row r="1" spans="5:28" x14ac:dyDescent="0.2">
      <c r="E1" s="2"/>
      <c r="F1" s="173" t="s">
        <v>35</v>
      </c>
      <c r="G1" s="173"/>
      <c r="H1" s="173"/>
      <c r="I1" s="4"/>
      <c r="J1" s="4"/>
      <c r="K1" s="4"/>
      <c r="L1" s="4"/>
      <c r="M1" s="5"/>
      <c r="N1" s="4"/>
      <c r="O1" s="4"/>
      <c r="P1" s="4"/>
      <c r="Q1" s="4"/>
      <c r="R1" s="4"/>
      <c r="S1" s="4"/>
      <c r="T1" s="4"/>
      <c r="U1" s="4"/>
      <c r="V1" s="4"/>
      <c r="W1" s="7"/>
    </row>
    <row r="2" spans="5:28" x14ac:dyDescent="0.2">
      <c r="E2" s="2"/>
      <c r="F2" s="173"/>
      <c r="G2" s="173"/>
      <c r="H2" s="173"/>
      <c r="I2" s="4"/>
      <c r="J2" s="229" t="s">
        <v>36</v>
      </c>
      <c r="K2" s="4"/>
      <c r="L2" s="4"/>
      <c r="M2" s="230" t="s">
        <v>45</v>
      </c>
      <c r="N2" s="185"/>
      <c r="O2" s="185"/>
      <c r="P2" s="185"/>
      <c r="Q2" s="185"/>
      <c r="R2" s="185"/>
      <c r="S2" s="4"/>
      <c r="T2" s="4"/>
      <c r="U2" s="4"/>
      <c r="V2" s="4"/>
      <c r="W2" s="7"/>
    </row>
    <row r="3" spans="5:28" ht="14.25" customHeight="1" x14ac:dyDescent="0.2">
      <c r="E3" s="2"/>
      <c r="F3" s="173"/>
      <c r="G3" s="173"/>
      <c r="H3" s="173"/>
      <c r="I3" s="4"/>
      <c r="J3" s="229"/>
      <c r="K3" s="4"/>
      <c r="L3" s="4"/>
      <c r="M3" s="185"/>
      <c r="N3" s="185"/>
      <c r="O3" s="185"/>
      <c r="P3" s="185"/>
      <c r="Q3" s="185"/>
      <c r="R3" s="185"/>
      <c r="S3" s="4"/>
      <c r="T3" s="4"/>
      <c r="U3" s="4"/>
      <c r="V3" s="4"/>
      <c r="W3" s="7"/>
    </row>
    <row r="4" spans="5:28" ht="14.25" customHeight="1" x14ac:dyDescent="0.2">
      <c r="E4" s="2"/>
      <c r="F4" s="173"/>
      <c r="G4" s="173"/>
      <c r="H4" s="173"/>
      <c r="I4" s="4"/>
      <c r="J4" s="4"/>
      <c r="K4" s="4"/>
      <c r="L4" s="4"/>
      <c r="M4" s="5"/>
      <c r="N4" s="4"/>
      <c r="O4" s="4"/>
      <c r="P4" s="4"/>
      <c r="Q4" s="4"/>
      <c r="R4" s="4"/>
      <c r="S4" s="4"/>
      <c r="T4" s="4"/>
      <c r="U4" s="4"/>
      <c r="V4" s="4"/>
      <c r="W4" s="7"/>
    </row>
    <row r="5" spans="5:28" x14ac:dyDescent="0.2">
      <c r="E5" s="2"/>
      <c r="F5" s="215"/>
      <c r="G5" s="215"/>
      <c r="H5" s="215"/>
      <c r="I5" s="217" t="s">
        <v>2</v>
      </c>
      <c r="J5" s="218"/>
      <c r="K5" s="218"/>
      <c r="L5" s="218"/>
      <c r="M5" s="218"/>
      <c r="N5" s="219"/>
      <c r="O5" s="141"/>
      <c r="P5" s="73"/>
      <c r="Q5" s="217" t="s">
        <v>30</v>
      </c>
      <c r="R5" s="218"/>
      <c r="S5" s="218"/>
      <c r="T5" s="218"/>
      <c r="U5" s="218"/>
      <c r="V5" s="219"/>
      <c r="W5" s="3"/>
    </row>
    <row r="6" spans="5:28" ht="97.5" customHeight="1" x14ac:dyDescent="0.2">
      <c r="F6" s="12" t="s">
        <v>4</v>
      </c>
      <c r="G6" s="13" t="s">
        <v>5</v>
      </c>
      <c r="H6" s="12" t="s">
        <v>6</v>
      </c>
      <c r="I6" s="12" t="s">
        <v>7</v>
      </c>
      <c r="J6" s="12" t="s">
        <v>8</v>
      </c>
      <c r="K6" s="12" t="s">
        <v>9</v>
      </c>
      <c r="L6" s="12" t="s">
        <v>38</v>
      </c>
      <c r="M6" s="12" t="s">
        <v>39</v>
      </c>
      <c r="N6" s="12" t="s">
        <v>12</v>
      </c>
      <c r="O6" s="12" t="s">
        <v>109</v>
      </c>
      <c r="P6" s="12"/>
      <c r="Q6" s="12" t="s">
        <v>7</v>
      </c>
      <c r="R6" s="12" t="s">
        <v>8</v>
      </c>
      <c r="S6" s="12" t="s">
        <v>9</v>
      </c>
      <c r="T6" s="12" t="s">
        <v>38</v>
      </c>
      <c r="U6" s="12" t="s">
        <v>39</v>
      </c>
      <c r="V6" s="12" t="s">
        <v>12</v>
      </c>
      <c r="W6" s="12" t="s">
        <v>14</v>
      </c>
    </row>
    <row r="7" spans="5:28" ht="14.25" customHeight="1" x14ac:dyDescent="0.2">
      <c r="F7" s="74" t="s">
        <v>40</v>
      </c>
      <c r="G7" s="54">
        <v>1.5</v>
      </c>
      <c r="H7" s="16" t="s">
        <v>16</v>
      </c>
      <c r="I7" s="231" t="s">
        <v>20</v>
      </c>
      <c r="J7" s="232"/>
      <c r="K7" s="232"/>
      <c r="L7" s="232"/>
      <c r="M7" s="232"/>
      <c r="N7" s="233"/>
      <c r="O7" s="137"/>
      <c r="P7" s="20"/>
      <c r="Q7" s="67">
        <f>'[1]Sew_Rehab_PVC_Dn250_H=1.5 m'!Y12</f>
        <v>444.22074478562155</v>
      </c>
      <c r="R7" s="67">
        <f>'[1]Sew_Rehab_PVC_Dn250_H=1.5 m'!AL13</f>
        <v>600.98363722755653</v>
      </c>
      <c r="S7" s="75">
        <f>(R7-Q7)/R7</f>
        <v>0.26084386118249381</v>
      </c>
      <c r="T7" s="76">
        <f>[1]SEWERAGE_Reinstatement!$D$18</f>
        <v>174.76598165888828</v>
      </c>
      <c r="U7" s="21">
        <v>1.2</v>
      </c>
      <c r="V7" s="21">
        <f>R7+U7*1*T7</f>
        <v>810.70281521822244</v>
      </c>
      <c r="W7" s="240" t="s">
        <v>26</v>
      </c>
      <c r="AA7" s="1"/>
      <c r="AB7" s="1"/>
    </row>
    <row r="8" spans="5:28" ht="14.25" customHeight="1" x14ac:dyDescent="0.2">
      <c r="F8" s="74" t="s">
        <v>40</v>
      </c>
      <c r="G8" s="54">
        <v>1.5</v>
      </c>
      <c r="H8" s="16" t="s">
        <v>17</v>
      </c>
      <c r="I8" s="234"/>
      <c r="J8" s="235"/>
      <c r="K8" s="235"/>
      <c r="L8" s="235"/>
      <c r="M8" s="235"/>
      <c r="N8" s="236"/>
      <c r="O8" s="138"/>
      <c r="P8" s="20"/>
      <c r="Q8" s="21">
        <f>Q7</f>
        <v>444.22074478562155</v>
      </c>
      <c r="R8" s="21">
        <f>R7</f>
        <v>600.98363722755653</v>
      </c>
      <c r="S8" s="77">
        <f>S7</f>
        <v>0.26084386118249381</v>
      </c>
      <c r="T8" s="76">
        <f>[1]SEWERAGE_Reinstatement!$Q$18</f>
        <v>173.73799860249881</v>
      </c>
      <c r="U8" s="21">
        <v>1.2</v>
      </c>
      <c r="V8" s="21">
        <f t="shared" ref="V8:V10" si="0">R8+U8*1*T8</f>
        <v>809.46923555055514</v>
      </c>
      <c r="W8" s="241"/>
      <c r="AA8" s="78"/>
      <c r="AB8" s="1"/>
    </row>
    <row r="9" spans="5:28" ht="14.25" customHeight="1" x14ac:dyDescent="0.2">
      <c r="F9" s="74" t="s">
        <v>40</v>
      </c>
      <c r="G9" s="54">
        <v>1.5</v>
      </c>
      <c r="H9" s="16" t="s">
        <v>18</v>
      </c>
      <c r="I9" s="234"/>
      <c r="J9" s="235"/>
      <c r="K9" s="235"/>
      <c r="L9" s="235"/>
      <c r="M9" s="235"/>
      <c r="N9" s="236"/>
      <c r="O9" s="138"/>
      <c r="P9" s="20"/>
      <c r="Q9" s="21">
        <f>Q7</f>
        <v>444.22074478562155</v>
      </c>
      <c r="R9" s="21">
        <f>R7</f>
        <v>600.98363722755653</v>
      </c>
      <c r="S9" s="77">
        <f>S7</f>
        <v>0.26084386118249381</v>
      </c>
      <c r="T9" s="76">
        <f>[1]SEWERAGE_Reinstatement!$AD$18</f>
        <v>73.219438056153251</v>
      </c>
      <c r="U9" s="21">
        <v>1.2</v>
      </c>
      <c r="V9" s="21">
        <f t="shared" si="0"/>
        <v>688.84696289494048</v>
      </c>
      <c r="W9" s="241"/>
      <c r="AA9" s="78"/>
      <c r="AB9" s="1"/>
    </row>
    <row r="10" spans="5:28" ht="14.25" customHeight="1" x14ac:dyDescent="0.2">
      <c r="F10" s="74" t="s">
        <v>40</v>
      </c>
      <c r="G10" s="54">
        <v>1.5</v>
      </c>
      <c r="H10" s="16" t="s">
        <v>19</v>
      </c>
      <c r="I10" s="237"/>
      <c r="J10" s="238"/>
      <c r="K10" s="238"/>
      <c r="L10" s="238"/>
      <c r="M10" s="238"/>
      <c r="N10" s="239"/>
      <c r="O10" s="139"/>
      <c r="P10" s="20"/>
      <c r="Q10" s="21">
        <f>Q7</f>
        <v>444.22074478562155</v>
      </c>
      <c r="R10" s="21">
        <f>R7</f>
        <v>600.98363722755653</v>
      </c>
      <c r="S10" s="77">
        <f>S7</f>
        <v>0.26084386118249381</v>
      </c>
      <c r="T10" s="76">
        <f>[1]SEWERAGE_Reinstatement!$AQ$18</f>
        <v>47.718076944013582</v>
      </c>
      <c r="U10" s="21">
        <v>1.2</v>
      </c>
      <c r="V10" s="21">
        <f t="shared" si="0"/>
        <v>658.24532956037285</v>
      </c>
      <c r="W10" s="242"/>
      <c r="AA10" s="78"/>
      <c r="AB10" s="1"/>
    </row>
    <row r="11" spans="5:28" ht="6" customHeight="1" x14ac:dyDescent="0.2">
      <c r="F11" s="79"/>
      <c r="G11" s="55"/>
      <c r="H11" s="27"/>
      <c r="I11" s="217"/>
      <c r="J11" s="218"/>
      <c r="K11" s="218"/>
      <c r="L11" s="218"/>
      <c r="M11" s="218"/>
      <c r="N11" s="219"/>
      <c r="O11" s="141"/>
      <c r="P11" s="73"/>
      <c r="Q11" s="94"/>
      <c r="R11" s="95"/>
      <c r="S11" s="96"/>
      <c r="T11" s="95"/>
      <c r="U11" s="95"/>
      <c r="V11" s="97"/>
      <c r="W11" s="30"/>
      <c r="AA11" s="78"/>
      <c r="AB11" s="1"/>
    </row>
    <row r="12" spans="5:28" x14ac:dyDescent="0.2">
      <c r="F12" s="74" t="s">
        <v>40</v>
      </c>
      <c r="G12" s="54">
        <v>2</v>
      </c>
      <c r="H12" s="16" t="s">
        <v>16</v>
      </c>
      <c r="I12" s="67">
        <f>'[1]Sew_Rehab_PVC_Dn250_H=2.0 m'!Y16</f>
        <v>696.48234677317714</v>
      </c>
      <c r="J12" s="67">
        <f>'[1]Sew_Rehab_PVC_Dn250_H=2.0 m'!AL16</f>
        <v>1111.2510517993899</v>
      </c>
      <c r="K12" s="19">
        <f>(J12-I12)/J12</f>
        <v>0.37324482559957967</v>
      </c>
      <c r="L12" s="76">
        <f>[1]SEWERAGE_Reinstatement!$D$18</f>
        <v>174.76598165888828</v>
      </c>
      <c r="M12" s="21">
        <v>1.2</v>
      </c>
      <c r="N12" s="21">
        <f t="shared" ref="N12:N15" si="1">J12+M12*1*L12</f>
        <v>1320.9702297900558</v>
      </c>
      <c r="O12" s="21"/>
      <c r="P12" s="21"/>
      <c r="Q12" s="67">
        <f>'[1]Sew_Rehab_PVC_Dn250_H=2.0 m'!Y15</f>
        <v>505.39714451413511</v>
      </c>
      <c r="R12" s="67">
        <f>'[1]Sew_Rehab_PVC_Dn250_H=2.0 m'!AL15</f>
        <v>709.05277502411172</v>
      </c>
      <c r="S12" s="19">
        <f t="shared" ref="S12:S15" si="2">(R12-Q12)/R12</f>
        <v>0.28722210487512895</v>
      </c>
      <c r="T12" s="76">
        <f>[1]SEWERAGE_Reinstatement!$D$18</f>
        <v>174.76598165888828</v>
      </c>
      <c r="U12" s="21">
        <v>1.2</v>
      </c>
      <c r="V12" s="21">
        <f>R12+U12*1*T12</f>
        <v>918.77195301477764</v>
      </c>
      <c r="W12" s="24"/>
      <c r="AA12" s="78"/>
      <c r="AB12" s="1"/>
    </row>
    <row r="13" spans="5:28" x14ac:dyDescent="0.2">
      <c r="F13" s="74" t="s">
        <v>40</v>
      </c>
      <c r="G13" s="54">
        <v>2</v>
      </c>
      <c r="H13" s="16" t="s">
        <v>17</v>
      </c>
      <c r="I13" s="21">
        <f>I12</f>
        <v>696.48234677317714</v>
      </c>
      <c r="J13" s="21">
        <f>J12</f>
        <v>1111.2510517993899</v>
      </c>
      <c r="K13" s="23">
        <f t="shared" ref="K13:K15" si="3">K12</f>
        <v>0.37324482559957967</v>
      </c>
      <c r="L13" s="76">
        <f>[1]SEWERAGE_Reinstatement!$Q$18</f>
        <v>173.73799860249881</v>
      </c>
      <c r="M13" s="21">
        <v>1.2</v>
      </c>
      <c r="N13" s="21">
        <f t="shared" si="1"/>
        <v>1319.7366501223885</v>
      </c>
      <c r="O13" s="21"/>
      <c r="P13" s="21"/>
      <c r="Q13" s="21">
        <f>Q12</f>
        <v>505.39714451413511</v>
      </c>
      <c r="R13" s="21">
        <f>R12</f>
        <v>709.05277502411172</v>
      </c>
      <c r="S13" s="23">
        <f t="shared" si="2"/>
        <v>0.28722210487512895</v>
      </c>
      <c r="T13" s="76">
        <f>[1]SEWERAGE_Reinstatement!$Q$18</f>
        <v>173.73799860249881</v>
      </c>
      <c r="U13" s="21">
        <v>1.2</v>
      </c>
      <c r="V13" s="21">
        <f t="shared" ref="V13:V15" si="4">R13+U13*1*T13</f>
        <v>917.53837334711034</v>
      </c>
      <c r="W13" s="24"/>
    </row>
    <row r="14" spans="5:28" x14ac:dyDescent="0.2">
      <c r="F14" s="74" t="s">
        <v>40</v>
      </c>
      <c r="G14" s="54">
        <v>2</v>
      </c>
      <c r="H14" s="16" t="s">
        <v>18</v>
      </c>
      <c r="I14" s="21">
        <f>I12</f>
        <v>696.48234677317714</v>
      </c>
      <c r="J14" s="21">
        <f>J12</f>
        <v>1111.2510517993899</v>
      </c>
      <c r="K14" s="23">
        <f t="shared" si="3"/>
        <v>0.37324482559957967</v>
      </c>
      <c r="L14" s="76">
        <f>[1]SEWERAGE_Reinstatement!$AD$18</f>
        <v>73.219438056153251</v>
      </c>
      <c r="M14" s="21">
        <v>1.2</v>
      </c>
      <c r="N14" s="21">
        <f t="shared" si="1"/>
        <v>1199.1143774667737</v>
      </c>
      <c r="O14" s="21"/>
      <c r="P14" s="21"/>
      <c r="Q14" s="21">
        <f>Q12</f>
        <v>505.39714451413511</v>
      </c>
      <c r="R14" s="21">
        <f>R12</f>
        <v>709.05277502411172</v>
      </c>
      <c r="S14" s="23">
        <f t="shared" si="2"/>
        <v>0.28722210487512895</v>
      </c>
      <c r="T14" s="76">
        <f>[1]SEWERAGE_Reinstatement!$AD$18</f>
        <v>73.219438056153251</v>
      </c>
      <c r="U14" s="21">
        <v>1.2</v>
      </c>
      <c r="V14" s="21">
        <f t="shared" si="4"/>
        <v>796.91610069149567</v>
      </c>
      <c r="W14" s="24"/>
    </row>
    <row r="15" spans="5:28" x14ac:dyDescent="0.2">
      <c r="F15" s="74" t="s">
        <v>40</v>
      </c>
      <c r="G15" s="54">
        <v>2</v>
      </c>
      <c r="H15" s="16" t="s">
        <v>19</v>
      </c>
      <c r="I15" s="21">
        <f>I12</f>
        <v>696.48234677317714</v>
      </c>
      <c r="J15" s="21">
        <f>J12</f>
        <v>1111.2510517993899</v>
      </c>
      <c r="K15" s="23">
        <f t="shared" si="3"/>
        <v>0.37324482559957967</v>
      </c>
      <c r="L15" s="76">
        <f>[1]SEWERAGE_Reinstatement!$AQ$18</f>
        <v>47.718076944013582</v>
      </c>
      <c r="M15" s="21">
        <v>1.2</v>
      </c>
      <c r="N15" s="21">
        <f t="shared" si="1"/>
        <v>1168.5127441322061</v>
      </c>
      <c r="O15" s="21"/>
      <c r="P15" s="21"/>
      <c r="Q15" s="21">
        <f>Q12</f>
        <v>505.39714451413511</v>
      </c>
      <c r="R15" s="21">
        <f>R12</f>
        <v>709.05277502411172</v>
      </c>
      <c r="S15" s="23">
        <f t="shared" si="2"/>
        <v>0.28722210487512895</v>
      </c>
      <c r="T15" s="76">
        <f>[1]SEWERAGE_Reinstatement!$AQ$18</f>
        <v>47.718076944013582</v>
      </c>
      <c r="U15" s="21">
        <v>1.2</v>
      </c>
      <c r="V15" s="21">
        <f t="shared" si="4"/>
        <v>766.31446735692805</v>
      </c>
      <c r="W15" s="24"/>
    </row>
    <row r="16" spans="5:28" ht="6" customHeight="1" x14ac:dyDescent="0.2">
      <c r="F16" s="79"/>
      <c r="G16" s="55"/>
      <c r="H16" s="27"/>
      <c r="I16" s="94"/>
      <c r="J16" s="95"/>
      <c r="K16" s="98"/>
      <c r="L16" s="95"/>
      <c r="M16" s="95"/>
      <c r="N16" s="97"/>
      <c r="O16" s="142"/>
      <c r="P16" s="99"/>
      <c r="Q16" s="94"/>
      <c r="R16" s="95"/>
      <c r="S16" s="98"/>
      <c r="T16" s="95"/>
      <c r="U16" s="95"/>
      <c r="V16" s="97"/>
      <c r="W16" s="30"/>
    </row>
    <row r="17" spans="5:24" x14ac:dyDescent="0.2">
      <c r="E17" s="112">
        <v>0.1</v>
      </c>
      <c r="F17" s="74" t="s">
        <v>40</v>
      </c>
      <c r="G17" s="54">
        <v>2.5</v>
      </c>
      <c r="H17" s="16" t="s">
        <v>16</v>
      </c>
      <c r="I17" s="67">
        <f>'[1]Sew_Rehab_PVC_Dn250_H=2.5 m'!AM15</f>
        <v>425.0198132716539</v>
      </c>
      <c r="J17" s="67">
        <f>'[1]Sew_Rehab_PVC_Dn250_H=2.5 m'!AM16</f>
        <v>1114.2922237418863</v>
      </c>
      <c r="K17" s="19">
        <f>(J17-I17)/J17</f>
        <v>0.61857419066930053</v>
      </c>
      <c r="L17" s="76">
        <f>[1]SEWERAGE_Reinstatement!$D$18</f>
        <v>174.76598165888828</v>
      </c>
      <c r="M17" s="21">
        <v>1.2</v>
      </c>
      <c r="N17" s="21">
        <f t="shared" ref="N17:N20" si="5">J17+M17*1*L17</f>
        <v>1324.0114017325523</v>
      </c>
      <c r="O17" s="21"/>
      <c r="P17" s="21"/>
      <c r="Q17" s="67">
        <f>'[1]Sew_Rehab_PVC_Dn250_H=2.5 m'!Y15</f>
        <v>329.468081692574</v>
      </c>
      <c r="R17" s="67">
        <f>'[1]Sew_Rehab_PVC_Dn250_H=2.5 m'!Y16</f>
        <v>742.83303363228583</v>
      </c>
      <c r="S17" s="19">
        <f t="shared" ref="S17:S20" si="6">(R17-Q17)/R17</f>
        <v>0.55647088002865264</v>
      </c>
      <c r="T17" s="76">
        <f>[1]SEWERAGE_Reinstatement!$D$18</f>
        <v>174.76598165888828</v>
      </c>
      <c r="U17" s="21">
        <v>1.2</v>
      </c>
      <c r="V17" s="21">
        <f>R17+U17*1*T17</f>
        <v>952.55221162295175</v>
      </c>
      <c r="W17" s="24"/>
    </row>
    <row r="18" spans="5:24" x14ac:dyDescent="0.2">
      <c r="E18" s="112">
        <v>0.5</v>
      </c>
      <c r="F18" s="74" t="s">
        <v>40</v>
      </c>
      <c r="G18" s="54">
        <v>2.5</v>
      </c>
      <c r="H18" s="16" t="s">
        <v>17</v>
      </c>
      <c r="I18" s="21">
        <f>I17</f>
        <v>425.0198132716539</v>
      </c>
      <c r="J18" s="21">
        <f>J17</f>
        <v>1114.2922237418863</v>
      </c>
      <c r="K18" s="23">
        <f>K17</f>
        <v>0.61857419066930053</v>
      </c>
      <c r="L18" s="76">
        <f>[1]SEWERAGE_Reinstatement!$Q$18</f>
        <v>173.73799860249881</v>
      </c>
      <c r="M18" s="21">
        <v>1.2</v>
      </c>
      <c r="N18" s="21">
        <f t="shared" si="5"/>
        <v>1322.777822064885</v>
      </c>
      <c r="O18" s="21"/>
      <c r="P18" s="21"/>
      <c r="Q18" s="21">
        <f>Q17</f>
        <v>329.468081692574</v>
      </c>
      <c r="R18" s="21">
        <f>R17</f>
        <v>742.83303363228583</v>
      </c>
      <c r="S18" s="23">
        <f t="shared" si="6"/>
        <v>0.55647088002865264</v>
      </c>
      <c r="T18" s="76">
        <f>[1]SEWERAGE_Reinstatement!$Q$18</f>
        <v>173.73799860249881</v>
      </c>
      <c r="U18" s="21">
        <v>1.2</v>
      </c>
      <c r="V18" s="21">
        <f t="shared" ref="V18:V20" si="7">R18+U18*1*T18</f>
        <v>951.31863195528445</v>
      </c>
      <c r="W18" s="24"/>
    </row>
    <row r="19" spans="5:24" x14ac:dyDescent="0.2">
      <c r="E19" s="112">
        <v>0.2</v>
      </c>
      <c r="F19" s="74" t="s">
        <v>40</v>
      </c>
      <c r="G19" s="54">
        <v>2.5</v>
      </c>
      <c r="H19" s="16" t="s">
        <v>18</v>
      </c>
      <c r="I19" s="21">
        <f>I17</f>
        <v>425.0198132716539</v>
      </c>
      <c r="J19" s="21">
        <f>J17</f>
        <v>1114.2922237418863</v>
      </c>
      <c r="K19" s="23">
        <f>K17</f>
        <v>0.61857419066930053</v>
      </c>
      <c r="L19" s="76">
        <f>[1]SEWERAGE_Reinstatement!$AD$18</f>
        <v>73.219438056153251</v>
      </c>
      <c r="M19" s="21">
        <v>1.2</v>
      </c>
      <c r="N19" s="21">
        <f t="shared" si="5"/>
        <v>1202.1555494092702</v>
      </c>
      <c r="O19" s="21"/>
      <c r="P19" s="21"/>
      <c r="Q19" s="21">
        <f>Q17</f>
        <v>329.468081692574</v>
      </c>
      <c r="R19" s="21">
        <f>R17</f>
        <v>742.83303363228583</v>
      </c>
      <c r="S19" s="23">
        <f t="shared" si="6"/>
        <v>0.55647088002865264</v>
      </c>
      <c r="T19" s="76">
        <f>[1]SEWERAGE_Reinstatement!$AD$18</f>
        <v>73.219438056153251</v>
      </c>
      <c r="U19" s="21">
        <v>1.2</v>
      </c>
      <c r="V19" s="21">
        <f t="shared" si="7"/>
        <v>830.69635929966978</v>
      </c>
      <c r="W19" s="24"/>
    </row>
    <row r="20" spans="5:24" x14ac:dyDescent="0.2">
      <c r="E20" s="112">
        <v>0.2</v>
      </c>
      <c r="F20" s="74" t="s">
        <v>40</v>
      </c>
      <c r="G20" s="54">
        <v>2.5</v>
      </c>
      <c r="H20" s="16" t="s">
        <v>19</v>
      </c>
      <c r="I20" s="21">
        <f>I17</f>
        <v>425.0198132716539</v>
      </c>
      <c r="J20" s="21">
        <f>J17</f>
        <v>1114.2922237418863</v>
      </c>
      <c r="K20" s="23">
        <f>K17</f>
        <v>0.61857419066930053</v>
      </c>
      <c r="L20" s="76">
        <f>[1]SEWERAGE_Reinstatement!$AQ$18</f>
        <v>47.718076944013582</v>
      </c>
      <c r="M20" s="21">
        <v>1.2</v>
      </c>
      <c r="N20" s="21">
        <f t="shared" si="5"/>
        <v>1171.5539160747026</v>
      </c>
      <c r="O20" s="21"/>
      <c r="P20" s="21"/>
      <c r="Q20" s="21">
        <f>Q17</f>
        <v>329.468081692574</v>
      </c>
      <c r="R20" s="21">
        <f>R17</f>
        <v>742.83303363228583</v>
      </c>
      <c r="S20" s="23">
        <f t="shared" si="6"/>
        <v>0.55647088002865264</v>
      </c>
      <c r="T20" s="76">
        <f>[1]SEWERAGE_Reinstatement!$AQ$18</f>
        <v>47.718076944013582</v>
      </c>
      <c r="U20" s="21">
        <v>1.2</v>
      </c>
      <c r="V20" s="21">
        <f t="shared" si="7"/>
        <v>800.09472596510216</v>
      </c>
      <c r="W20" s="24"/>
    </row>
    <row r="21" spans="5:24" ht="6" customHeight="1" x14ac:dyDescent="0.2">
      <c r="F21" s="82"/>
      <c r="I21" s="94"/>
      <c r="J21" s="95"/>
      <c r="K21" s="98"/>
      <c r="L21" s="95"/>
      <c r="M21" s="95"/>
      <c r="N21" s="97"/>
      <c r="O21" s="142"/>
      <c r="P21" s="47"/>
      <c r="Q21" s="94"/>
      <c r="R21" s="95"/>
      <c r="S21" s="98"/>
      <c r="T21" s="95"/>
      <c r="U21" s="95"/>
      <c r="V21" s="97"/>
    </row>
    <row r="22" spans="5:24" ht="14.25" customHeight="1" x14ac:dyDescent="0.2">
      <c r="F22" s="74" t="s">
        <v>40</v>
      </c>
      <c r="G22" s="54">
        <v>3</v>
      </c>
      <c r="H22" s="16" t="s">
        <v>16</v>
      </c>
      <c r="I22" s="67">
        <f>'[1]Sew_Rehab_PVC_Dn250_H=3.0 m'!X15</f>
        <v>868.83216615731476</v>
      </c>
      <c r="J22" s="67">
        <f>'[1]Sew_Rehab_PVC_Dn250_H=3.0 m'!AL16</f>
        <v>1199.1055156260882</v>
      </c>
      <c r="K22" s="19">
        <f>(J22-I22)/J22</f>
        <v>0.27543310006069649</v>
      </c>
      <c r="L22" s="76">
        <f>[1]SEWERAGE_Reinstatement!$D$18</f>
        <v>174.76598165888828</v>
      </c>
      <c r="M22" s="21">
        <v>1.2</v>
      </c>
      <c r="N22" s="21">
        <f t="shared" ref="N22:N25" si="8">J22+M22*1*L22</f>
        <v>1408.8246936167541</v>
      </c>
      <c r="O22" s="21"/>
      <c r="P22" s="21"/>
      <c r="Q22" s="67">
        <f>'[1]Sew_Rehab_PVC_Dn250_H=3.0 m'!X14</f>
        <v>454.06342502342312</v>
      </c>
      <c r="R22" s="67">
        <f>'[1]Sew_Rehab_PVC_Dn250_H=3.0 m'!AL15</f>
        <v>498.94418835081882</v>
      </c>
      <c r="S22" s="19">
        <f>(R22-Q22)/R22</f>
        <v>8.9951470275146342E-2</v>
      </c>
      <c r="T22" s="76">
        <f>[1]SEWERAGE_Reinstatement!$D$18</f>
        <v>174.76598165888828</v>
      </c>
      <c r="U22" s="21">
        <v>1.2</v>
      </c>
      <c r="V22" s="21">
        <f t="shared" ref="V22:V25" si="9">R22+U22*1*T22</f>
        <v>708.66336634148479</v>
      </c>
      <c r="W22" s="24"/>
    </row>
    <row r="23" spans="5:24" ht="14.25" customHeight="1" x14ac:dyDescent="0.2">
      <c r="F23" s="74" t="s">
        <v>40</v>
      </c>
      <c r="G23" s="54">
        <v>3</v>
      </c>
      <c r="H23" s="16" t="s">
        <v>17</v>
      </c>
      <c r="I23" s="21">
        <f>I22</f>
        <v>868.83216615731476</v>
      </c>
      <c r="J23" s="21">
        <f>J22</f>
        <v>1199.1055156260882</v>
      </c>
      <c r="K23" s="23">
        <f>K22</f>
        <v>0.27543310006069649</v>
      </c>
      <c r="L23" s="76">
        <f>[1]SEWERAGE_Reinstatement!$Q$18</f>
        <v>173.73799860249881</v>
      </c>
      <c r="M23" s="21">
        <v>1.2</v>
      </c>
      <c r="N23" s="21">
        <f t="shared" si="8"/>
        <v>1407.5911139490868</v>
      </c>
      <c r="O23" s="21"/>
      <c r="P23" s="21"/>
      <c r="Q23" s="21">
        <f>Q22</f>
        <v>454.06342502342312</v>
      </c>
      <c r="R23" s="21">
        <f>R22</f>
        <v>498.94418835081882</v>
      </c>
      <c r="S23" s="23">
        <f>S22</f>
        <v>8.9951470275146342E-2</v>
      </c>
      <c r="T23" s="76">
        <f>[1]SEWERAGE_Reinstatement!$Q$18</f>
        <v>173.73799860249881</v>
      </c>
      <c r="U23" s="21">
        <v>1.2</v>
      </c>
      <c r="V23" s="21">
        <f t="shared" si="9"/>
        <v>707.42978667381738</v>
      </c>
      <c r="W23" s="24"/>
    </row>
    <row r="24" spans="5:24" ht="14.25" customHeight="1" x14ac:dyDescent="0.2">
      <c r="F24" s="74" t="s">
        <v>40</v>
      </c>
      <c r="G24" s="54">
        <v>3</v>
      </c>
      <c r="H24" s="16" t="s">
        <v>18</v>
      </c>
      <c r="I24" s="21">
        <f>I22</f>
        <v>868.83216615731476</v>
      </c>
      <c r="J24" s="21">
        <f>J22</f>
        <v>1199.1055156260882</v>
      </c>
      <c r="K24" s="23">
        <f>K22</f>
        <v>0.27543310006069649</v>
      </c>
      <c r="L24" s="76">
        <f>[1]SEWERAGE_Reinstatement!$AD$18</f>
        <v>73.219438056153251</v>
      </c>
      <c r="M24" s="21">
        <v>1.2</v>
      </c>
      <c r="N24" s="21">
        <f t="shared" si="8"/>
        <v>1286.968841293472</v>
      </c>
      <c r="O24" s="21"/>
      <c r="P24" s="21"/>
      <c r="Q24" s="21">
        <f>Q22</f>
        <v>454.06342502342312</v>
      </c>
      <c r="R24" s="21">
        <f>R22</f>
        <v>498.94418835081882</v>
      </c>
      <c r="S24" s="23">
        <f>S22</f>
        <v>8.9951470275146342E-2</v>
      </c>
      <c r="T24" s="76">
        <f>[1]SEWERAGE_Reinstatement!$AD$18</f>
        <v>73.219438056153251</v>
      </c>
      <c r="U24" s="21">
        <v>1.2</v>
      </c>
      <c r="V24" s="21">
        <f t="shared" si="9"/>
        <v>586.80751401820271</v>
      </c>
      <c r="W24" s="24"/>
    </row>
    <row r="25" spans="5:24" ht="14.25" customHeight="1" x14ac:dyDescent="0.2">
      <c r="F25" s="74" t="s">
        <v>40</v>
      </c>
      <c r="G25" s="54">
        <v>3</v>
      </c>
      <c r="H25" s="16" t="s">
        <v>19</v>
      </c>
      <c r="I25" s="21">
        <f>I22</f>
        <v>868.83216615731476</v>
      </c>
      <c r="J25" s="21">
        <f>J22</f>
        <v>1199.1055156260882</v>
      </c>
      <c r="K25" s="23">
        <f>K22</f>
        <v>0.27543310006069649</v>
      </c>
      <c r="L25" s="76">
        <f>[1]SEWERAGE_Reinstatement!$AQ$18</f>
        <v>47.718076944013582</v>
      </c>
      <c r="M25" s="21">
        <v>1.2</v>
      </c>
      <c r="N25" s="21">
        <f t="shared" si="8"/>
        <v>1256.3672079589044</v>
      </c>
      <c r="O25" s="21"/>
      <c r="P25" s="21"/>
      <c r="Q25" s="21">
        <f>Q22</f>
        <v>454.06342502342312</v>
      </c>
      <c r="R25" s="21">
        <f>R22</f>
        <v>498.94418835081882</v>
      </c>
      <c r="S25" s="23">
        <f>S22</f>
        <v>8.9951470275146342E-2</v>
      </c>
      <c r="T25" s="76">
        <f>[1]SEWERAGE_Reinstatement!$AQ$18</f>
        <v>47.718076944013582</v>
      </c>
      <c r="U25" s="21">
        <v>1.2</v>
      </c>
      <c r="V25" s="21">
        <f t="shared" si="9"/>
        <v>556.20588068363509</v>
      </c>
      <c r="W25" s="24"/>
    </row>
    <row r="26" spans="5:24" ht="6" customHeight="1" x14ac:dyDescent="0.2">
      <c r="F26" s="79"/>
      <c r="G26" s="55"/>
      <c r="H26" s="27"/>
      <c r="I26" s="27"/>
      <c r="J26" s="27"/>
      <c r="K26" s="80"/>
      <c r="L26" s="44"/>
      <c r="M26" s="29"/>
      <c r="N26" s="44"/>
      <c r="O26" s="44"/>
      <c r="P26" s="44"/>
      <c r="Q26" s="44"/>
      <c r="R26" s="44"/>
      <c r="S26" s="44"/>
      <c r="T26" s="44"/>
      <c r="U26" s="44"/>
      <c r="V26" s="44"/>
      <c r="W26" s="30"/>
    </row>
    <row r="27" spans="5:24" ht="26" x14ac:dyDescent="0.2">
      <c r="F27" s="74" t="s">
        <v>41</v>
      </c>
      <c r="G27" s="54">
        <v>1.5</v>
      </c>
      <c r="H27" s="16" t="s">
        <v>16</v>
      </c>
      <c r="I27" s="231" t="s">
        <v>20</v>
      </c>
      <c r="J27" s="232"/>
      <c r="K27" s="232"/>
      <c r="L27" s="232"/>
      <c r="M27" s="232"/>
      <c r="N27" s="233"/>
      <c r="O27" s="137"/>
      <c r="P27" s="20"/>
      <c r="Q27" s="231" t="s">
        <v>20</v>
      </c>
      <c r="R27" s="232"/>
      <c r="S27" s="232"/>
      <c r="T27" s="232"/>
      <c r="U27" s="232"/>
      <c r="V27" s="233"/>
      <c r="W27" s="24"/>
      <c r="X27" s="83"/>
    </row>
    <row r="28" spans="5:24" ht="26" x14ac:dyDescent="0.2">
      <c r="F28" s="74" t="s">
        <v>41</v>
      </c>
      <c r="G28" s="54">
        <v>1.5</v>
      </c>
      <c r="H28" s="16" t="s">
        <v>17</v>
      </c>
      <c r="I28" s="234"/>
      <c r="J28" s="235"/>
      <c r="K28" s="235"/>
      <c r="L28" s="235"/>
      <c r="M28" s="235"/>
      <c r="N28" s="236"/>
      <c r="O28" s="138"/>
      <c r="P28" s="20"/>
      <c r="Q28" s="234"/>
      <c r="R28" s="235"/>
      <c r="S28" s="235"/>
      <c r="T28" s="235"/>
      <c r="U28" s="235"/>
      <c r="V28" s="236"/>
      <c r="W28" s="24"/>
      <c r="X28" s="83"/>
    </row>
    <row r="29" spans="5:24" ht="26" x14ac:dyDescent="0.2">
      <c r="F29" s="74" t="s">
        <v>41</v>
      </c>
      <c r="G29" s="54">
        <v>1.5</v>
      </c>
      <c r="H29" s="16" t="s">
        <v>18</v>
      </c>
      <c r="I29" s="234"/>
      <c r="J29" s="235"/>
      <c r="K29" s="235"/>
      <c r="L29" s="235"/>
      <c r="M29" s="235"/>
      <c r="N29" s="236"/>
      <c r="O29" s="138"/>
      <c r="P29" s="20"/>
      <c r="Q29" s="234"/>
      <c r="R29" s="235"/>
      <c r="S29" s="235"/>
      <c r="T29" s="235"/>
      <c r="U29" s="235"/>
      <c r="V29" s="236"/>
      <c r="W29" s="24"/>
      <c r="X29" s="83"/>
    </row>
    <row r="30" spans="5:24" ht="26" x14ac:dyDescent="0.2">
      <c r="F30" s="74" t="s">
        <v>41</v>
      </c>
      <c r="G30" s="54">
        <v>1.5</v>
      </c>
      <c r="H30" s="16" t="s">
        <v>19</v>
      </c>
      <c r="I30" s="237"/>
      <c r="J30" s="238"/>
      <c r="K30" s="238"/>
      <c r="L30" s="238"/>
      <c r="M30" s="238"/>
      <c r="N30" s="239"/>
      <c r="O30" s="139"/>
      <c r="P30" s="20"/>
      <c r="Q30" s="237"/>
      <c r="R30" s="238"/>
      <c r="S30" s="238"/>
      <c r="T30" s="238"/>
      <c r="U30" s="238"/>
      <c r="V30" s="239"/>
      <c r="W30" s="24"/>
      <c r="X30" s="83"/>
    </row>
    <row r="31" spans="5:24" ht="6" customHeight="1" x14ac:dyDescent="0.2">
      <c r="F31" s="79"/>
      <c r="G31" s="55"/>
      <c r="H31" s="27"/>
      <c r="I31" s="217"/>
      <c r="J31" s="218"/>
      <c r="K31" s="218"/>
      <c r="L31" s="218"/>
      <c r="M31" s="218"/>
      <c r="N31" s="219"/>
      <c r="O31" s="141"/>
      <c r="P31" s="73"/>
      <c r="Q31" s="217"/>
      <c r="R31" s="218"/>
      <c r="S31" s="218"/>
      <c r="T31" s="218"/>
      <c r="U31" s="218"/>
      <c r="V31" s="219"/>
      <c r="W31" s="30"/>
    </row>
    <row r="32" spans="5:24" x14ac:dyDescent="0.2">
      <c r="F32" s="74" t="s">
        <v>41</v>
      </c>
      <c r="G32" s="54">
        <v>2</v>
      </c>
      <c r="H32" s="16" t="s">
        <v>16</v>
      </c>
      <c r="I32" s="18">
        <f>'[1]Sew_Rehab_PVC_Dn300_H=2.0 m'!Y16</f>
        <v>824.52315131364242</v>
      </c>
      <c r="J32" s="18">
        <f>'[1]Sew_Rehab_PVC_Dn300_H=2.0 m'!AL16</f>
        <v>1154.6258117429932</v>
      </c>
      <c r="K32" s="75">
        <f>(J32-I32)/J32</f>
        <v>0.2858957915820679</v>
      </c>
      <c r="L32" s="76">
        <f>[1]SEWERAGE_Reinstatement!$D$18</f>
        <v>174.76598165888828</v>
      </c>
      <c r="M32" s="21">
        <v>1.2</v>
      </c>
      <c r="N32" s="20">
        <f t="shared" ref="N32:N35" si="10">J32+M32*1*L32</f>
        <v>1364.3449897336591</v>
      </c>
      <c r="O32" s="20"/>
      <c r="P32" s="20"/>
      <c r="Q32" s="67">
        <f>'[1]Sew_Rehab_PVC_Dn300_H=2.0 m'!Y15</f>
        <v>560.83044430808297</v>
      </c>
      <c r="R32" s="67">
        <f>'[1]Sew_Rehab_PVC_Dn300_H=2.0 m'!AL15</f>
        <v>772.79102561999616</v>
      </c>
      <c r="S32" s="19">
        <f>(R32-Q32)/R32</f>
        <v>0.27427929968759807</v>
      </c>
      <c r="T32" s="76">
        <f>[1]SEWERAGE_Reinstatement!$D$18</f>
        <v>174.76598165888828</v>
      </c>
      <c r="U32" s="21">
        <v>1.2</v>
      </c>
      <c r="V32" s="21">
        <f t="shared" ref="V32:V35" si="11">R32+U32*1*T32</f>
        <v>982.51020361066207</v>
      </c>
      <c r="W32" s="24"/>
    </row>
    <row r="33" spans="5:23" x14ac:dyDescent="0.2">
      <c r="F33" s="74" t="s">
        <v>41</v>
      </c>
      <c r="G33" s="54">
        <v>2</v>
      </c>
      <c r="H33" s="16" t="s">
        <v>17</v>
      </c>
      <c r="I33" s="20">
        <f>I32</f>
        <v>824.52315131364242</v>
      </c>
      <c r="J33" s="20">
        <f>J32</f>
        <v>1154.6258117429932</v>
      </c>
      <c r="K33" s="77">
        <f>K32</f>
        <v>0.2858957915820679</v>
      </c>
      <c r="L33" s="76">
        <f>[1]SEWERAGE_Reinstatement!$Q$18</f>
        <v>173.73799860249881</v>
      </c>
      <c r="M33" s="21">
        <v>1.2</v>
      </c>
      <c r="N33" s="20">
        <f t="shared" si="10"/>
        <v>1363.1114100659918</v>
      </c>
      <c r="O33" s="20"/>
      <c r="P33" s="20"/>
      <c r="Q33" s="21">
        <f>Q32</f>
        <v>560.83044430808297</v>
      </c>
      <c r="R33" s="21">
        <f>R32</f>
        <v>772.79102561999616</v>
      </c>
      <c r="S33" s="23">
        <f>S32</f>
        <v>0.27427929968759807</v>
      </c>
      <c r="T33" s="76">
        <f>[1]SEWERAGE_Reinstatement!$Q$18</f>
        <v>173.73799860249881</v>
      </c>
      <c r="U33" s="21">
        <v>1.2</v>
      </c>
      <c r="V33" s="21">
        <f t="shared" si="11"/>
        <v>981.27662394299477</v>
      </c>
      <c r="W33" s="24"/>
    </row>
    <row r="34" spans="5:23" x14ac:dyDescent="0.2">
      <c r="F34" s="74" t="s">
        <v>41</v>
      </c>
      <c r="G34" s="54">
        <v>2</v>
      </c>
      <c r="H34" s="16" t="s">
        <v>18</v>
      </c>
      <c r="I34" s="20">
        <f>I32</f>
        <v>824.52315131364242</v>
      </c>
      <c r="J34" s="20">
        <f>J32</f>
        <v>1154.6258117429932</v>
      </c>
      <c r="K34" s="77">
        <f>K32</f>
        <v>0.2858957915820679</v>
      </c>
      <c r="L34" s="76">
        <f>[1]SEWERAGE_Reinstatement!$AD$18</f>
        <v>73.219438056153251</v>
      </c>
      <c r="M34" s="21">
        <v>1.2</v>
      </c>
      <c r="N34" s="20">
        <f t="shared" si="10"/>
        <v>1242.489137410377</v>
      </c>
      <c r="O34" s="20"/>
      <c r="P34" s="20"/>
      <c r="Q34" s="21">
        <f>Q32</f>
        <v>560.83044430808297</v>
      </c>
      <c r="R34" s="21">
        <f>R32</f>
        <v>772.79102561999616</v>
      </c>
      <c r="S34" s="23">
        <f>S32</f>
        <v>0.27427929968759807</v>
      </c>
      <c r="T34" s="76">
        <f>[1]SEWERAGE_Reinstatement!$AD$18</f>
        <v>73.219438056153251</v>
      </c>
      <c r="U34" s="21">
        <v>1.2</v>
      </c>
      <c r="V34" s="21">
        <f t="shared" si="11"/>
        <v>860.65435128738011</v>
      </c>
      <c r="W34" s="24"/>
    </row>
    <row r="35" spans="5:23" x14ac:dyDescent="0.2">
      <c r="F35" s="74" t="s">
        <v>41</v>
      </c>
      <c r="G35" s="54">
        <v>2</v>
      </c>
      <c r="H35" s="16" t="s">
        <v>19</v>
      </c>
      <c r="I35" s="20">
        <f>I32</f>
        <v>824.52315131364242</v>
      </c>
      <c r="J35" s="20">
        <f>J32</f>
        <v>1154.6258117429932</v>
      </c>
      <c r="K35" s="77">
        <f>K32</f>
        <v>0.2858957915820679</v>
      </c>
      <c r="L35" s="76">
        <f>[1]SEWERAGE_Reinstatement!$AQ$18</f>
        <v>47.718076944013582</v>
      </c>
      <c r="M35" s="21">
        <v>1.2</v>
      </c>
      <c r="N35" s="20">
        <f t="shared" si="10"/>
        <v>1211.8875040758094</v>
      </c>
      <c r="O35" s="20"/>
      <c r="P35" s="20"/>
      <c r="Q35" s="21">
        <f>Q32</f>
        <v>560.83044430808297</v>
      </c>
      <c r="R35" s="21">
        <f>R32</f>
        <v>772.79102561999616</v>
      </c>
      <c r="S35" s="23">
        <f>S32</f>
        <v>0.27427929968759807</v>
      </c>
      <c r="T35" s="76">
        <f>[1]SEWERAGE_Reinstatement!$AQ$18</f>
        <v>47.718076944013582</v>
      </c>
      <c r="U35" s="21">
        <v>1.2</v>
      </c>
      <c r="V35" s="21">
        <f t="shared" si="11"/>
        <v>830.05271795281249</v>
      </c>
      <c r="W35" s="24"/>
    </row>
    <row r="36" spans="5:23" ht="6" customHeight="1" x14ac:dyDescent="0.2">
      <c r="F36" s="82"/>
      <c r="I36" s="100"/>
      <c r="J36" s="96"/>
      <c r="K36" s="96"/>
      <c r="L36" s="96"/>
      <c r="M36" s="96"/>
      <c r="N36" s="101"/>
      <c r="O36" s="143"/>
      <c r="P36" s="73"/>
      <c r="Q36" s="94"/>
      <c r="R36" s="95"/>
      <c r="S36" s="98"/>
      <c r="T36" s="95"/>
      <c r="U36" s="95"/>
      <c r="V36" s="97"/>
    </row>
    <row r="37" spans="5:23" x14ac:dyDescent="0.2">
      <c r="E37" s="112">
        <v>0.1</v>
      </c>
      <c r="F37" s="74" t="s">
        <v>41</v>
      </c>
      <c r="G37" s="54">
        <v>2.5</v>
      </c>
      <c r="H37" s="16" t="s">
        <v>16</v>
      </c>
      <c r="I37" s="18">
        <f>'[1]Sew_Rehab_PVC_Dn300_H=2.5 m'!Y16</f>
        <v>866.78342664176796</v>
      </c>
      <c r="J37" s="18">
        <f>'[1]Sew_Rehab_PVC_Dn300_H=2.5 m'!AL16</f>
        <v>1268.4143207142504</v>
      </c>
      <c r="K37" s="75">
        <f>(J37-I37)/J37</f>
        <v>0.31664014471732083</v>
      </c>
      <c r="L37" s="76">
        <f>[1]SEWERAGE_Reinstatement!$D$18</f>
        <v>174.76598165888828</v>
      </c>
      <c r="M37" s="21">
        <v>1.2</v>
      </c>
      <c r="N37" s="20">
        <f t="shared" ref="N37:N40" si="12">J37+M37*1*L37</f>
        <v>1478.1334987049163</v>
      </c>
      <c r="O37" s="20"/>
      <c r="P37" s="20"/>
      <c r="Q37" s="67">
        <f>'[1]Sew_Rehab_PVC_Dn300_H=2.5 m'!Y15</f>
        <v>526.77347567246659</v>
      </c>
      <c r="R37" s="67">
        <f>'[1]Sew_Rehab_PVC_Dn300_H=2.5 m'!AL15</f>
        <v>804.49732291662758</v>
      </c>
      <c r="S37" s="19">
        <f>(R37-Q37)/R37</f>
        <v>0.34521413475597401</v>
      </c>
      <c r="T37" s="76">
        <f>[1]SEWERAGE_Reinstatement!$D$18</f>
        <v>174.76598165888828</v>
      </c>
      <c r="U37" s="21">
        <v>1.2</v>
      </c>
      <c r="V37" s="21">
        <f t="shared" ref="V37:V40" si="13">R37+U37*1*T37</f>
        <v>1014.2165009072935</v>
      </c>
      <c r="W37" s="24"/>
    </row>
    <row r="38" spans="5:23" x14ac:dyDescent="0.2">
      <c r="E38" s="112">
        <v>0.5</v>
      </c>
      <c r="F38" s="74" t="s">
        <v>41</v>
      </c>
      <c r="G38" s="54">
        <v>2.5</v>
      </c>
      <c r="H38" s="16" t="s">
        <v>17</v>
      </c>
      <c r="I38" s="20">
        <f>I37</f>
        <v>866.78342664176796</v>
      </c>
      <c r="J38" s="20">
        <f>J37</f>
        <v>1268.4143207142504</v>
      </c>
      <c r="K38" s="77">
        <f>K37</f>
        <v>0.31664014471732083</v>
      </c>
      <c r="L38" s="76">
        <f>[1]SEWERAGE_Reinstatement!$Q$18</f>
        <v>173.73799860249881</v>
      </c>
      <c r="M38" s="21">
        <v>1.2</v>
      </c>
      <c r="N38" s="20">
        <f t="shared" si="12"/>
        <v>1476.899919037249</v>
      </c>
      <c r="O38" s="20"/>
      <c r="P38" s="20"/>
      <c r="Q38" s="21">
        <f>Q37</f>
        <v>526.77347567246659</v>
      </c>
      <c r="R38" s="21">
        <f>R37</f>
        <v>804.49732291662758</v>
      </c>
      <c r="S38" s="23">
        <f>S37</f>
        <v>0.34521413475597401</v>
      </c>
      <c r="T38" s="76">
        <f>[1]SEWERAGE_Reinstatement!$Q$18</f>
        <v>173.73799860249881</v>
      </c>
      <c r="U38" s="21">
        <v>1.2</v>
      </c>
      <c r="V38" s="21">
        <f t="shared" si="13"/>
        <v>1012.9829212396262</v>
      </c>
      <c r="W38" s="24"/>
    </row>
    <row r="39" spans="5:23" x14ac:dyDescent="0.2">
      <c r="E39" s="112">
        <v>0.2</v>
      </c>
      <c r="F39" s="74" t="s">
        <v>41</v>
      </c>
      <c r="G39" s="54">
        <v>2.5</v>
      </c>
      <c r="H39" s="16" t="s">
        <v>18</v>
      </c>
      <c r="I39" s="20">
        <f>I37</f>
        <v>866.78342664176796</v>
      </c>
      <c r="J39" s="20">
        <f>J37</f>
        <v>1268.4143207142504</v>
      </c>
      <c r="K39" s="77">
        <f>K37</f>
        <v>0.31664014471732083</v>
      </c>
      <c r="L39" s="76">
        <f>[1]SEWERAGE_Reinstatement!$AD$18</f>
        <v>73.219438056153251</v>
      </c>
      <c r="M39" s="21">
        <v>1.2</v>
      </c>
      <c r="N39" s="20">
        <f t="shared" si="12"/>
        <v>1356.2776463816342</v>
      </c>
      <c r="O39" s="20"/>
      <c r="P39" s="20"/>
      <c r="Q39" s="21">
        <f>Q37</f>
        <v>526.77347567246659</v>
      </c>
      <c r="R39" s="21">
        <f>R37</f>
        <v>804.49732291662758</v>
      </c>
      <c r="S39" s="23">
        <f>S37</f>
        <v>0.34521413475597401</v>
      </c>
      <c r="T39" s="76">
        <f>[1]SEWERAGE_Reinstatement!$AD$18</f>
        <v>73.219438056153251</v>
      </c>
      <c r="U39" s="21">
        <v>1.2</v>
      </c>
      <c r="V39" s="21">
        <f t="shared" si="13"/>
        <v>892.36064858401153</v>
      </c>
      <c r="W39" s="24"/>
    </row>
    <row r="40" spans="5:23" x14ac:dyDescent="0.2">
      <c r="E40" s="112">
        <v>0.2</v>
      </c>
      <c r="F40" s="74" t="s">
        <v>41</v>
      </c>
      <c r="G40" s="54">
        <v>2.5</v>
      </c>
      <c r="H40" s="16" t="s">
        <v>19</v>
      </c>
      <c r="I40" s="20">
        <f>I37</f>
        <v>866.78342664176796</v>
      </c>
      <c r="J40" s="20">
        <f>J37</f>
        <v>1268.4143207142504</v>
      </c>
      <c r="K40" s="77">
        <f>K37</f>
        <v>0.31664014471732083</v>
      </c>
      <c r="L40" s="76">
        <f>[1]SEWERAGE_Reinstatement!$AQ$18</f>
        <v>47.718076944013582</v>
      </c>
      <c r="M40" s="21">
        <v>1.2</v>
      </c>
      <c r="N40" s="20">
        <f t="shared" si="12"/>
        <v>1325.6760130470666</v>
      </c>
      <c r="O40" s="20"/>
      <c r="P40" s="20"/>
      <c r="Q40" s="21">
        <f>Q37</f>
        <v>526.77347567246659</v>
      </c>
      <c r="R40" s="21">
        <f>R37</f>
        <v>804.49732291662758</v>
      </c>
      <c r="S40" s="23">
        <f>S37</f>
        <v>0.34521413475597401</v>
      </c>
      <c r="T40" s="76">
        <f>[1]SEWERAGE_Reinstatement!$AQ$18</f>
        <v>47.718076944013582</v>
      </c>
      <c r="U40" s="21">
        <v>1.2</v>
      </c>
      <c r="V40" s="21">
        <f t="shared" si="13"/>
        <v>861.75901524944391</v>
      </c>
      <c r="W40" s="24"/>
    </row>
    <row r="41" spans="5:23" ht="6" customHeight="1" x14ac:dyDescent="0.2">
      <c r="F41" s="79"/>
      <c r="G41" s="55"/>
      <c r="H41" s="27"/>
      <c r="I41" s="100"/>
      <c r="J41" s="96"/>
      <c r="K41" s="96"/>
      <c r="L41" s="96"/>
      <c r="M41" s="96"/>
      <c r="N41" s="101"/>
      <c r="O41" s="96"/>
      <c r="P41" s="44"/>
      <c r="Q41" s="44"/>
      <c r="R41" s="44"/>
      <c r="S41" s="44"/>
      <c r="T41" s="44"/>
      <c r="U41" s="44"/>
      <c r="V41" s="44"/>
      <c r="W41" s="30"/>
    </row>
    <row r="42" spans="5:23" ht="14.25" customHeight="1" x14ac:dyDescent="0.2">
      <c r="F42" s="74" t="s">
        <v>41</v>
      </c>
      <c r="G42" s="54">
        <v>3</v>
      </c>
      <c r="H42" s="16" t="s">
        <v>16</v>
      </c>
      <c r="I42" s="18">
        <f>'[1]Sew_Rehab_PVC_Dn300_H=3.0 m'!Y12</f>
        <v>944.25109620212413</v>
      </c>
      <c r="J42" s="18">
        <f>'[1]Sew_Rehab_PVC_Dn300_H=3.0 m'!AL13</f>
        <v>1279.0218270073792</v>
      </c>
      <c r="K42" s="75">
        <f>(J42-I42)/J42</f>
        <v>0.26173965427043777</v>
      </c>
      <c r="L42" s="76">
        <f>[1]SEWERAGE_Reinstatement!$D$18</f>
        <v>174.76598165888828</v>
      </c>
      <c r="M42" s="21">
        <v>1.2</v>
      </c>
      <c r="N42" s="20">
        <f t="shared" ref="N42:N45" si="14">J42+M42*1*L42</f>
        <v>1488.7410049980451</v>
      </c>
      <c r="O42" s="20"/>
      <c r="P42" s="20"/>
      <c r="Q42" s="231" t="s">
        <v>20</v>
      </c>
      <c r="R42" s="232"/>
      <c r="S42" s="232"/>
      <c r="T42" s="232"/>
      <c r="U42" s="232"/>
      <c r="V42" s="233"/>
      <c r="W42" s="24"/>
    </row>
    <row r="43" spans="5:23" ht="14.25" customHeight="1" x14ac:dyDescent="0.2">
      <c r="F43" s="74" t="s">
        <v>41</v>
      </c>
      <c r="G43" s="54">
        <v>3</v>
      </c>
      <c r="H43" s="16" t="s">
        <v>17</v>
      </c>
      <c r="I43" s="20">
        <f>I42</f>
        <v>944.25109620212413</v>
      </c>
      <c r="J43" s="20">
        <f>J42</f>
        <v>1279.0218270073792</v>
      </c>
      <c r="K43" s="77">
        <f>K42</f>
        <v>0.26173965427043777</v>
      </c>
      <c r="L43" s="76">
        <f>[1]SEWERAGE_Reinstatement!$Q$18</f>
        <v>173.73799860249881</v>
      </c>
      <c r="M43" s="21">
        <v>1.2</v>
      </c>
      <c r="N43" s="20">
        <f t="shared" si="14"/>
        <v>1487.5074253303778</v>
      </c>
      <c r="O43" s="20"/>
      <c r="P43" s="20"/>
      <c r="Q43" s="234"/>
      <c r="R43" s="235"/>
      <c r="S43" s="235"/>
      <c r="T43" s="235"/>
      <c r="U43" s="235"/>
      <c r="V43" s="236"/>
      <c r="W43" s="24"/>
    </row>
    <row r="44" spans="5:23" ht="14.25" customHeight="1" x14ac:dyDescent="0.2">
      <c r="F44" s="74" t="s">
        <v>41</v>
      </c>
      <c r="G44" s="54">
        <v>3</v>
      </c>
      <c r="H44" s="16" t="s">
        <v>18</v>
      </c>
      <c r="I44" s="20">
        <f>I42</f>
        <v>944.25109620212413</v>
      </c>
      <c r="J44" s="20">
        <f>J42</f>
        <v>1279.0218270073792</v>
      </c>
      <c r="K44" s="77">
        <f>K42</f>
        <v>0.26173965427043777</v>
      </c>
      <c r="L44" s="76">
        <f>[1]SEWERAGE_Reinstatement!$AD$18</f>
        <v>73.219438056153251</v>
      </c>
      <c r="M44" s="21">
        <v>1.2</v>
      </c>
      <c r="N44" s="20">
        <f t="shared" si="14"/>
        <v>1366.885152674763</v>
      </c>
      <c r="O44" s="20"/>
      <c r="P44" s="20"/>
      <c r="Q44" s="234"/>
      <c r="R44" s="235"/>
      <c r="S44" s="235"/>
      <c r="T44" s="235"/>
      <c r="U44" s="235"/>
      <c r="V44" s="236"/>
      <c r="W44" s="24"/>
    </row>
    <row r="45" spans="5:23" ht="14.25" customHeight="1" x14ac:dyDescent="0.2">
      <c r="F45" s="74" t="s">
        <v>41</v>
      </c>
      <c r="G45" s="54">
        <v>3</v>
      </c>
      <c r="H45" s="16" t="s">
        <v>19</v>
      </c>
      <c r="I45" s="20">
        <f>I42</f>
        <v>944.25109620212413</v>
      </c>
      <c r="J45" s="20">
        <f>J42</f>
        <v>1279.0218270073792</v>
      </c>
      <c r="K45" s="77">
        <f>K42</f>
        <v>0.26173965427043777</v>
      </c>
      <c r="L45" s="76">
        <f>[1]SEWERAGE_Reinstatement!$AQ$18</f>
        <v>47.718076944013582</v>
      </c>
      <c r="M45" s="21">
        <v>1.2</v>
      </c>
      <c r="N45" s="20">
        <f t="shared" si="14"/>
        <v>1336.2835193401954</v>
      </c>
      <c r="O45" s="20"/>
      <c r="P45" s="20"/>
      <c r="Q45" s="237"/>
      <c r="R45" s="238"/>
      <c r="S45" s="238"/>
      <c r="T45" s="238"/>
      <c r="U45" s="238"/>
      <c r="V45" s="239"/>
      <c r="W45" s="24"/>
    </row>
    <row r="46" spans="5:23" x14ac:dyDescent="0.2">
      <c r="F46" s="84"/>
      <c r="G46" s="85"/>
      <c r="H46" s="33"/>
      <c r="I46" s="33"/>
      <c r="J46" s="33"/>
      <c r="K46" s="86"/>
      <c r="L46" s="33"/>
      <c r="M46" s="36"/>
      <c r="N46" s="33"/>
      <c r="O46" s="33"/>
      <c r="P46" s="33"/>
      <c r="Q46" s="33"/>
      <c r="R46" s="33"/>
      <c r="S46" s="33"/>
      <c r="T46" s="33"/>
      <c r="U46" s="33"/>
      <c r="V46" s="33"/>
      <c r="W46" s="87"/>
    </row>
    <row r="47" spans="5:23" s="59" customFormat="1" x14ac:dyDescent="0.2">
      <c r="F47" s="88"/>
      <c r="G47" s="89"/>
      <c r="K47" s="90"/>
      <c r="M47" s="62"/>
      <c r="W47" s="91"/>
    </row>
    <row r="48" spans="5:23" s="59" customFormat="1" x14ac:dyDescent="0.2">
      <c r="F48" s="88"/>
      <c r="G48" s="89"/>
      <c r="K48" s="90"/>
      <c r="M48" s="62"/>
      <c r="W48" s="91"/>
    </row>
    <row r="49" spans="6:23" s="59" customFormat="1" x14ac:dyDescent="0.2">
      <c r="F49" s="88"/>
      <c r="G49" s="89"/>
      <c r="K49" s="90"/>
      <c r="M49" s="62"/>
      <c r="W49" s="91"/>
    </row>
    <row r="50" spans="6:23" s="59" customFormat="1" x14ac:dyDescent="0.2">
      <c r="F50" s="88"/>
      <c r="G50" s="89"/>
      <c r="K50" s="90"/>
      <c r="M50" s="62"/>
      <c r="W50" s="91"/>
    </row>
    <row r="51" spans="6:23" s="59" customFormat="1" x14ac:dyDescent="0.2">
      <c r="F51" s="88"/>
      <c r="G51" s="89"/>
      <c r="K51" s="90"/>
      <c r="M51" s="62"/>
    </row>
    <row r="52" spans="6:23" s="59" customFormat="1" x14ac:dyDescent="0.2">
      <c r="F52" s="88"/>
      <c r="G52" s="89"/>
      <c r="K52" s="90"/>
      <c r="M52" s="62"/>
      <c r="W52" s="91"/>
    </row>
    <row r="53" spans="6:23" s="59" customFormat="1" x14ac:dyDescent="0.2">
      <c r="F53" s="88"/>
      <c r="G53" s="89"/>
      <c r="K53" s="90"/>
      <c r="M53" s="62"/>
      <c r="W53" s="91"/>
    </row>
    <row r="54" spans="6:23" s="59" customFormat="1" x14ac:dyDescent="0.2">
      <c r="F54" s="88"/>
      <c r="G54" s="89"/>
      <c r="K54" s="90"/>
      <c r="M54" s="62"/>
      <c r="W54" s="91"/>
    </row>
    <row r="55" spans="6:23" s="59" customFormat="1" x14ac:dyDescent="0.2">
      <c r="F55" s="88"/>
      <c r="G55" s="89"/>
      <c r="K55" s="90"/>
      <c r="M55" s="62"/>
      <c r="W55" s="91"/>
    </row>
    <row r="56" spans="6:23" s="59" customFormat="1" x14ac:dyDescent="0.2">
      <c r="F56" s="88"/>
      <c r="G56" s="89"/>
      <c r="K56" s="90"/>
      <c r="M56" s="62"/>
      <c r="W56" s="91"/>
    </row>
    <row r="57" spans="6:23" s="59" customFormat="1" x14ac:dyDescent="0.2">
      <c r="F57" s="88"/>
      <c r="G57" s="89"/>
      <c r="K57" s="90"/>
      <c r="M57" s="62"/>
      <c r="W57" s="91"/>
    </row>
    <row r="58" spans="6:23" s="59" customFormat="1" x14ac:dyDescent="0.2">
      <c r="F58" s="88"/>
      <c r="G58" s="89"/>
      <c r="K58" s="90"/>
      <c r="M58" s="62"/>
      <c r="W58" s="91"/>
    </row>
    <row r="59" spans="6:23" s="59" customFormat="1" x14ac:dyDescent="0.2">
      <c r="F59" s="88"/>
      <c r="G59" s="89"/>
      <c r="K59" s="90"/>
      <c r="M59" s="62"/>
      <c r="W59" s="91"/>
    </row>
    <row r="60" spans="6:23" s="59" customFormat="1" x14ac:dyDescent="0.2">
      <c r="F60" s="88"/>
      <c r="G60" s="89"/>
      <c r="K60" s="90"/>
      <c r="M60" s="62"/>
      <c r="W60" s="91"/>
    </row>
    <row r="61" spans="6:23" s="59" customFormat="1" x14ac:dyDescent="0.2">
      <c r="F61" s="88"/>
      <c r="G61" s="89"/>
      <c r="K61" s="90"/>
      <c r="M61" s="62"/>
      <c r="W61" s="91"/>
    </row>
    <row r="62" spans="6:23" s="59" customFormat="1" x14ac:dyDescent="0.2">
      <c r="F62" s="88"/>
      <c r="G62" s="89"/>
      <c r="K62" s="90"/>
      <c r="M62" s="62"/>
      <c r="W62" s="91"/>
    </row>
    <row r="63" spans="6:23" s="59" customFormat="1" x14ac:dyDescent="0.2">
      <c r="F63" s="88"/>
      <c r="G63" s="89"/>
      <c r="K63" s="90"/>
      <c r="M63" s="62"/>
      <c r="W63" s="91"/>
    </row>
    <row r="64" spans="6:23" s="59" customFormat="1" x14ac:dyDescent="0.2">
      <c r="F64" s="88"/>
      <c r="G64" s="89"/>
      <c r="K64" s="90"/>
      <c r="M64" s="62"/>
      <c r="W64" s="91"/>
    </row>
    <row r="65" spans="7:23" s="59" customFormat="1" x14ac:dyDescent="0.2">
      <c r="G65" s="89"/>
      <c r="K65" s="90"/>
      <c r="M65" s="62"/>
      <c r="W65" s="91"/>
    </row>
    <row r="66" spans="7:23" s="59" customFormat="1" x14ac:dyDescent="0.2">
      <c r="G66" s="89"/>
      <c r="K66" s="90"/>
      <c r="M66" s="62"/>
    </row>
    <row r="67" spans="7:23" s="59" customFormat="1" x14ac:dyDescent="0.2">
      <c r="G67" s="89"/>
      <c r="K67" s="90"/>
      <c r="M67" s="62"/>
      <c r="W67" s="91"/>
    </row>
    <row r="68" spans="7:23" s="59" customFormat="1" x14ac:dyDescent="0.2">
      <c r="G68" s="89"/>
      <c r="K68" s="90"/>
      <c r="M68" s="62"/>
      <c r="W68" s="91"/>
    </row>
    <row r="69" spans="7:23" s="59" customFormat="1" x14ac:dyDescent="0.2">
      <c r="G69" s="89"/>
      <c r="K69" s="90"/>
      <c r="M69" s="62"/>
      <c r="W69" s="91"/>
    </row>
    <row r="70" spans="7:23" s="59" customFormat="1" x14ac:dyDescent="0.2">
      <c r="G70" s="89"/>
      <c r="K70" s="90"/>
      <c r="M70" s="62"/>
      <c r="W70" s="91"/>
    </row>
    <row r="71" spans="7:23" s="59" customFormat="1" x14ac:dyDescent="0.2">
      <c r="G71" s="89"/>
      <c r="K71" s="90"/>
      <c r="M71" s="62"/>
      <c r="W71" s="91"/>
    </row>
    <row r="72" spans="7:23" s="59" customFormat="1" x14ac:dyDescent="0.2">
      <c r="G72" s="89"/>
      <c r="K72" s="90"/>
      <c r="M72" s="62"/>
      <c r="W72" s="91"/>
    </row>
    <row r="73" spans="7:23" s="59" customFormat="1" x14ac:dyDescent="0.2">
      <c r="G73" s="89"/>
      <c r="K73" s="90"/>
      <c r="M73" s="62"/>
      <c r="W73" s="91"/>
    </row>
    <row r="74" spans="7:23" s="59" customFormat="1" x14ac:dyDescent="0.2">
      <c r="G74" s="89"/>
      <c r="K74" s="90"/>
      <c r="M74" s="62"/>
      <c r="W74" s="91"/>
    </row>
    <row r="75" spans="7:23" s="59" customFormat="1" x14ac:dyDescent="0.2">
      <c r="G75" s="89"/>
      <c r="K75" s="90"/>
      <c r="M75" s="62"/>
      <c r="W75" s="91"/>
    </row>
    <row r="76" spans="7:23" s="59" customFormat="1" x14ac:dyDescent="0.2">
      <c r="G76" s="89"/>
      <c r="K76" s="90"/>
      <c r="M76" s="62"/>
      <c r="W76" s="91"/>
    </row>
    <row r="77" spans="7:23" s="59" customFormat="1" x14ac:dyDescent="0.2">
      <c r="G77" s="89"/>
      <c r="K77" s="90"/>
      <c r="M77" s="62"/>
      <c r="W77" s="91"/>
    </row>
    <row r="78" spans="7:23" s="59" customFormat="1" x14ac:dyDescent="0.2">
      <c r="G78" s="89"/>
      <c r="K78" s="90"/>
      <c r="M78" s="62"/>
      <c r="W78" s="91"/>
    </row>
    <row r="79" spans="7:23" s="59" customFormat="1" x14ac:dyDescent="0.2">
      <c r="G79" s="89"/>
      <c r="K79" s="90"/>
      <c r="M79" s="62"/>
      <c r="W79" s="91"/>
    </row>
    <row r="80" spans="7:23" s="59" customFormat="1" x14ac:dyDescent="0.2">
      <c r="G80" s="89"/>
      <c r="K80" s="90"/>
      <c r="M80" s="62"/>
      <c r="W80" s="91"/>
    </row>
    <row r="81" spans="7:23" s="59" customFormat="1" x14ac:dyDescent="0.2">
      <c r="G81" s="89"/>
      <c r="K81" s="90"/>
      <c r="M81" s="62"/>
    </row>
    <row r="82" spans="7:23" s="59" customFormat="1" x14ac:dyDescent="0.2">
      <c r="G82" s="89"/>
      <c r="K82" s="90"/>
      <c r="M82" s="62"/>
      <c r="W82" s="91"/>
    </row>
    <row r="83" spans="7:23" s="59" customFormat="1" x14ac:dyDescent="0.2">
      <c r="G83" s="89"/>
      <c r="K83" s="90"/>
      <c r="M83" s="62"/>
      <c r="W83" s="91"/>
    </row>
    <row r="84" spans="7:23" s="59" customFormat="1" x14ac:dyDescent="0.2">
      <c r="G84" s="89"/>
      <c r="K84" s="90"/>
      <c r="M84" s="62"/>
      <c r="W84" s="91"/>
    </row>
    <row r="85" spans="7:23" s="59" customFormat="1" x14ac:dyDescent="0.2">
      <c r="G85" s="89"/>
      <c r="K85" s="90"/>
      <c r="M85" s="62"/>
      <c r="W85" s="91"/>
    </row>
    <row r="86" spans="7:23" s="59" customFormat="1" x14ac:dyDescent="0.2">
      <c r="G86" s="89"/>
      <c r="K86" s="90"/>
      <c r="M86" s="62"/>
      <c r="W86" s="91"/>
    </row>
    <row r="87" spans="7:23" s="59" customFormat="1" x14ac:dyDescent="0.2">
      <c r="G87" s="89"/>
      <c r="K87" s="90"/>
      <c r="M87" s="62"/>
      <c r="W87" s="91"/>
    </row>
    <row r="88" spans="7:23" s="59" customFormat="1" x14ac:dyDescent="0.2">
      <c r="G88" s="89"/>
      <c r="K88" s="90"/>
      <c r="M88" s="62"/>
      <c r="W88" s="91"/>
    </row>
    <row r="89" spans="7:23" s="59" customFormat="1" x14ac:dyDescent="0.2">
      <c r="G89" s="89"/>
      <c r="K89" s="90"/>
      <c r="M89" s="62"/>
      <c r="W89" s="91"/>
    </row>
    <row r="90" spans="7:23" s="59" customFormat="1" x14ac:dyDescent="0.2">
      <c r="G90" s="89"/>
      <c r="K90" s="90"/>
      <c r="M90" s="62"/>
      <c r="W90" s="91"/>
    </row>
    <row r="91" spans="7:23" s="59" customFormat="1" x14ac:dyDescent="0.2">
      <c r="G91" s="89"/>
      <c r="K91" s="90"/>
      <c r="M91" s="62"/>
      <c r="W91" s="91"/>
    </row>
    <row r="92" spans="7:23" s="59" customFormat="1" x14ac:dyDescent="0.2">
      <c r="G92" s="89"/>
      <c r="K92" s="90"/>
      <c r="M92" s="62"/>
      <c r="W92" s="91"/>
    </row>
    <row r="93" spans="7:23" s="59" customFormat="1" x14ac:dyDescent="0.2">
      <c r="G93" s="89"/>
      <c r="K93" s="90"/>
      <c r="M93" s="62"/>
      <c r="W93" s="91"/>
    </row>
    <row r="94" spans="7:23" s="59" customFormat="1" x14ac:dyDescent="0.2">
      <c r="G94" s="89"/>
      <c r="K94" s="90"/>
      <c r="M94" s="62"/>
      <c r="W94" s="91"/>
    </row>
    <row r="95" spans="7:23" s="59" customFormat="1" x14ac:dyDescent="0.2">
      <c r="G95" s="89"/>
      <c r="K95" s="90"/>
      <c r="M95" s="62"/>
      <c r="W95" s="91"/>
    </row>
    <row r="96" spans="7:23" s="59" customFormat="1" x14ac:dyDescent="0.2">
      <c r="G96" s="89"/>
      <c r="K96" s="90"/>
      <c r="M96" s="62"/>
    </row>
    <row r="97" spans="7:13" s="59" customFormat="1" x14ac:dyDescent="0.2">
      <c r="G97" s="89"/>
      <c r="K97" s="90"/>
      <c r="M97" s="62"/>
    </row>
    <row r="98" spans="7:13" s="59" customFormat="1" x14ac:dyDescent="0.2">
      <c r="G98" s="89"/>
      <c r="K98" s="90"/>
      <c r="M98" s="62"/>
    </row>
  </sheetData>
  <mergeCells count="13">
    <mergeCell ref="Q42:V45"/>
    <mergeCell ref="W7:W10"/>
    <mergeCell ref="I11:N11"/>
    <mergeCell ref="I27:N30"/>
    <mergeCell ref="Q27:V30"/>
    <mergeCell ref="I31:N31"/>
    <mergeCell ref="Q31:V31"/>
    <mergeCell ref="I7:N10"/>
    <mergeCell ref="F1:H5"/>
    <mergeCell ref="J2:J3"/>
    <mergeCell ref="M2:R3"/>
    <mergeCell ref="I5:N5"/>
    <mergeCell ref="Q5:V5"/>
  </mergeCells>
  <pageMargins left="0.7" right="0.7" top="0.75" bottom="0.75" header="0.3" footer="0.3"/>
  <pageSetup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NETWOKS UNIT COST CALCULATION </vt:lpstr>
      <vt:lpstr>COSTING RRP</vt:lpstr>
      <vt:lpstr>WATER_NEW - Matrix</vt:lpstr>
      <vt:lpstr>WATER_REHAB - Matrix)</vt:lpstr>
      <vt:lpstr>SEWERAGE_Matrix - New PVC</vt:lpstr>
      <vt:lpstr>SEWERAGE_Matrix - New PP</vt:lpstr>
      <vt:lpstr>SEWERAGE_Matrix - Rehab PVC</vt:lpstr>
    </vt:vector>
  </TitlesOfParts>
  <Company>European Investment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CRINGAS Adrian (Ext)</dc:creator>
  <cp:lastModifiedBy>Microsoft Office User</cp:lastModifiedBy>
  <dcterms:created xsi:type="dcterms:W3CDTF">2021-04-21T21:30:46Z</dcterms:created>
  <dcterms:modified xsi:type="dcterms:W3CDTF">2021-05-29T12:59:58Z</dcterms:modified>
</cp:coreProperties>
</file>